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drewcody\Downloads\"/>
    </mc:Choice>
  </mc:AlternateContent>
  <xr:revisionPtr revIDLastSave="0" documentId="13_ncr:1_{EA01A81E-5218-4257-BFD8-607E109E8BF3}" xr6:coauthVersionLast="47" xr6:coauthVersionMax="47" xr10:uidLastSave="{00000000-0000-0000-0000-000000000000}"/>
  <workbookProtection lockStructure="1"/>
  <bookViews>
    <workbookView xWindow="-110" yWindow="-110" windowWidth="38620" windowHeight="21220" xr2:uid="{00000000-000D-0000-FFFF-FFFF00000000}"/>
  </bookViews>
  <sheets>
    <sheet name="Residential" sheetId="5" r:id="rId1"/>
    <sheet name="Commercial" sheetId="1" r:id="rId2"/>
    <sheet name="Institutional" sheetId="2" r:id="rId3"/>
    <sheet name="Mixed Use" sheetId="12" r:id="rId4"/>
    <sheet name="62-6.008" sheetId="6" r:id="rId5"/>
    <sheet name="Collier Co Design Crit" sheetId="7" r:id="rId6"/>
    <sheet name="10 State Standards" sheetId="9" r:id="rId7"/>
  </sheets>
  <definedNames>
    <definedName name="_xlnm.Print_Area" localSheetId="1">Commercial!$A$125:$G$143</definedName>
    <definedName name="_xlnm.Print_Area" localSheetId="2">Institutional!$A$46:$G$64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9" i="1" l="1"/>
  <c r="G138" i="1"/>
  <c r="G137" i="1"/>
  <c r="G136" i="1"/>
  <c r="G135" i="1"/>
  <c r="G134" i="1"/>
  <c r="G133" i="1"/>
  <c r="G132" i="1"/>
  <c r="G131" i="1"/>
  <c r="G130" i="1"/>
  <c r="G129" i="1"/>
  <c r="G128" i="1"/>
  <c r="F139" i="1"/>
  <c r="F138" i="1"/>
  <c r="F137" i="1"/>
  <c r="F136" i="1"/>
  <c r="F135" i="1"/>
  <c r="F134" i="1"/>
  <c r="F133" i="1"/>
  <c r="F132" i="1"/>
  <c r="F131" i="1"/>
  <c r="F130" i="1"/>
  <c r="F129" i="1"/>
  <c r="F128" i="1"/>
  <c r="E139" i="1"/>
  <c r="E138" i="1"/>
  <c r="E137" i="1"/>
  <c r="E136" i="1"/>
  <c r="E135" i="1"/>
  <c r="E134" i="1"/>
  <c r="E133" i="1"/>
  <c r="E132" i="1"/>
  <c r="E131" i="1"/>
  <c r="E130" i="1"/>
  <c r="E129" i="1"/>
  <c r="E128" i="1"/>
  <c r="F34" i="1"/>
  <c r="F33" i="1"/>
  <c r="I109" i="1"/>
  <c r="J109" i="1" s="1"/>
  <c r="K109" i="1"/>
  <c r="G110" i="1"/>
  <c r="G109" i="1"/>
  <c r="K35" i="2" l="1"/>
  <c r="K36" i="2" s="1"/>
  <c r="K37" i="2" s="1"/>
  <c r="K31" i="2"/>
  <c r="K25" i="2"/>
  <c r="K26" i="2" s="1"/>
  <c r="K27" i="2" s="1"/>
  <c r="K16" i="2"/>
  <c r="K17" i="2" s="1"/>
  <c r="I38" i="2"/>
  <c r="J38" i="2" s="1"/>
  <c r="I37" i="2"/>
  <c r="J37" i="2" s="1"/>
  <c r="I36" i="2"/>
  <c r="J36" i="2" s="1"/>
  <c r="I35" i="2"/>
  <c r="I34" i="2"/>
  <c r="J34" i="2" s="1"/>
  <c r="I33" i="2"/>
  <c r="J33" i="2" s="1"/>
  <c r="I32" i="2"/>
  <c r="J32" i="2" s="1"/>
  <c r="I31" i="2"/>
  <c r="J31" i="2" s="1"/>
  <c r="I30" i="2"/>
  <c r="J30" i="2" s="1"/>
  <c r="I29" i="2"/>
  <c r="J29" i="2" s="1"/>
  <c r="I28" i="2"/>
  <c r="J28" i="2" s="1"/>
  <c r="I27" i="2"/>
  <c r="J27" i="2" s="1"/>
  <c r="I26" i="2"/>
  <c r="J26" i="2" s="1"/>
  <c r="I25" i="2"/>
  <c r="J25" i="2" s="1"/>
  <c r="I24" i="2"/>
  <c r="J24" i="2" s="1"/>
  <c r="I23" i="2"/>
  <c r="J23" i="2" s="1"/>
  <c r="I22" i="2"/>
  <c r="J22" i="2" s="1"/>
  <c r="I21" i="2"/>
  <c r="J21" i="2" s="1"/>
  <c r="I20" i="2"/>
  <c r="J20" i="2" s="1"/>
  <c r="I19" i="2"/>
  <c r="J19" i="2" s="1"/>
  <c r="I18" i="2"/>
  <c r="J18" i="2" s="1"/>
  <c r="I17" i="2"/>
  <c r="J17" i="2" s="1"/>
  <c r="I16" i="2"/>
  <c r="J16" i="2" s="1"/>
  <c r="I15" i="2"/>
  <c r="J15" i="2" s="1"/>
  <c r="I14" i="2"/>
  <c r="J14" i="2" s="1"/>
  <c r="I13" i="2"/>
  <c r="J13" i="2" s="1"/>
  <c r="I12" i="2"/>
  <c r="J12" i="2" s="1"/>
  <c r="I11" i="2"/>
  <c r="J11" i="2" s="1"/>
  <c r="I10" i="2"/>
  <c r="J10" i="2" s="1"/>
  <c r="I9" i="2"/>
  <c r="J9" i="2" s="1"/>
  <c r="I8" i="2"/>
  <c r="J8" i="2" s="1"/>
  <c r="I7" i="2"/>
  <c r="J7" i="2" s="1"/>
  <c r="I6" i="2"/>
  <c r="J6" i="2" s="1"/>
  <c r="I5" i="2"/>
  <c r="J5" i="2" s="1"/>
  <c r="I4" i="2"/>
  <c r="J4" i="2" s="1"/>
  <c r="I3" i="2"/>
  <c r="J3" i="2" s="1"/>
  <c r="A25" i="2"/>
  <c r="A20" i="2"/>
  <c r="K21" i="2" s="1"/>
  <c r="A11" i="2"/>
  <c r="K12" i="2" s="1"/>
  <c r="A7" i="2"/>
  <c r="K8" i="2" s="1"/>
  <c r="A3" i="2"/>
  <c r="K4" i="2" s="1"/>
  <c r="F25" i="2"/>
  <c r="F21" i="2"/>
  <c r="F12" i="2"/>
  <c r="F8" i="2"/>
  <c r="F4" i="2"/>
  <c r="K114" i="1"/>
  <c r="K115" i="1" s="1"/>
  <c r="K116" i="1" s="1"/>
  <c r="K107" i="1"/>
  <c r="K108" i="1" s="1"/>
  <c r="K110" i="1" s="1"/>
  <c r="K101" i="1"/>
  <c r="K102" i="1" s="1"/>
  <c r="K103" i="1" s="1"/>
  <c r="K97" i="1"/>
  <c r="K93" i="1"/>
  <c r="K89" i="1"/>
  <c r="K85" i="1"/>
  <c r="K81" i="1"/>
  <c r="K77" i="1"/>
  <c r="K72" i="1"/>
  <c r="K73" i="1" s="1"/>
  <c r="K67" i="1"/>
  <c r="K68" i="1" s="1"/>
  <c r="K62" i="1"/>
  <c r="K63" i="1" s="1"/>
  <c r="K56" i="1"/>
  <c r="K57" i="1" s="1"/>
  <c r="K58" i="1" s="1"/>
  <c r="K38" i="1"/>
  <c r="K39" i="1" s="1"/>
  <c r="K40" i="1" s="1"/>
  <c r="K41" i="1" s="1"/>
  <c r="K42" i="1" s="1"/>
  <c r="K43" i="1" s="1"/>
  <c r="K44" i="1" s="1"/>
  <c r="K45" i="1" s="1"/>
  <c r="K46" i="1" s="1"/>
  <c r="K47" i="1" s="1"/>
  <c r="K48" i="1" s="1"/>
  <c r="K49" i="1" s="1"/>
  <c r="K50" i="1" s="1"/>
  <c r="K51" i="1" s="1"/>
  <c r="K52" i="1" s="1"/>
  <c r="K32" i="1"/>
  <c r="K33" i="1" s="1"/>
  <c r="K34" i="1" s="1"/>
  <c r="K28" i="1"/>
  <c r="K23" i="1"/>
  <c r="K24" i="1" s="1"/>
  <c r="K17" i="1"/>
  <c r="K18" i="1" s="1"/>
  <c r="K19" i="1" s="1"/>
  <c r="K13" i="1"/>
  <c r="K9" i="1"/>
  <c r="K4" i="1"/>
  <c r="K5" i="1" s="1"/>
  <c r="I117" i="1"/>
  <c r="J117" i="1" s="1"/>
  <c r="I116" i="1"/>
  <c r="J116" i="1" s="1"/>
  <c r="I115" i="1"/>
  <c r="J115" i="1" s="1"/>
  <c r="I114" i="1"/>
  <c r="J114" i="1" s="1"/>
  <c r="I113" i="1"/>
  <c r="J113" i="1" s="1"/>
  <c r="I112" i="1"/>
  <c r="J112" i="1" s="1"/>
  <c r="I111" i="1"/>
  <c r="J111" i="1" s="1"/>
  <c r="I110" i="1"/>
  <c r="J110" i="1" s="1"/>
  <c r="I108" i="1"/>
  <c r="J108" i="1" s="1"/>
  <c r="I107" i="1"/>
  <c r="J107" i="1" s="1"/>
  <c r="I106" i="1"/>
  <c r="J106" i="1" s="1"/>
  <c r="I105" i="1"/>
  <c r="J105" i="1" s="1"/>
  <c r="I104" i="1"/>
  <c r="J104" i="1" s="1"/>
  <c r="I103" i="1"/>
  <c r="J103" i="1" s="1"/>
  <c r="I102" i="1"/>
  <c r="J102" i="1" s="1"/>
  <c r="I101" i="1"/>
  <c r="J101" i="1" s="1"/>
  <c r="I100" i="1"/>
  <c r="J100" i="1" s="1"/>
  <c r="I99" i="1"/>
  <c r="J99" i="1" s="1"/>
  <c r="I98" i="1"/>
  <c r="J98" i="1" s="1"/>
  <c r="I97" i="1"/>
  <c r="J97" i="1" s="1"/>
  <c r="I96" i="1"/>
  <c r="J96" i="1" s="1"/>
  <c r="I95" i="1"/>
  <c r="J95" i="1" s="1"/>
  <c r="I94" i="1"/>
  <c r="J94" i="1" s="1"/>
  <c r="I93" i="1"/>
  <c r="J93" i="1" s="1"/>
  <c r="I92" i="1"/>
  <c r="J92" i="1" s="1"/>
  <c r="I91" i="1"/>
  <c r="J91" i="1" s="1"/>
  <c r="I90" i="1"/>
  <c r="J90" i="1" s="1"/>
  <c r="I89" i="1"/>
  <c r="J89" i="1" s="1"/>
  <c r="I88" i="1"/>
  <c r="J88" i="1" s="1"/>
  <c r="I87" i="1"/>
  <c r="J87" i="1" s="1"/>
  <c r="I86" i="1"/>
  <c r="J86" i="1" s="1"/>
  <c r="I85" i="1"/>
  <c r="J85" i="1" s="1"/>
  <c r="I84" i="1"/>
  <c r="J84" i="1" s="1"/>
  <c r="I83" i="1"/>
  <c r="J83" i="1" s="1"/>
  <c r="I82" i="1"/>
  <c r="J82" i="1" s="1"/>
  <c r="I81" i="1"/>
  <c r="I80" i="1"/>
  <c r="J80" i="1" s="1"/>
  <c r="I79" i="1"/>
  <c r="J79" i="1" s="1"/>
  <c r="I78" i="1"/>
  <c r="J78" i="1" s="1"/>
  <c r="I77" i="1"/>
  <c r="J77" i="1" s="1"/>
  <c r="I76" i="1"/>
  <c r="J76" i="1" s="1"/>
  <c r="I75" i="1"/>
  <c r="J75" i="1" s="1"/>
  <c r="I74" i="1"/>
  <c r="J74" i="1" s="1"/>
  <c r="I73" i="1"/>
  <c r="J73" i="1" s="1"/>
  <c r="I72" i="1"/>
  <c r="J72" i="1" s="1"/>
  <c r="I71" i="1"/>
  <c r="J71" i="1" s="1"/>
  <c r="I70" i="1"/>
  <c r="J70" i="1" s="1"/>
  <c r="I69" i="1"/>
  <c r="J69" i="1" s="1"/>
  <c r="I68" i="1"/>
  <c r="J68" i="1" s="1"/>
  <c r="I67" i="1"/>
  <c r="J67" i="1" s="1"/>
  <c r="I66" i="1"/>
  <c r="J66" i="1" s="1"/>
  <c r="I65" i="1"/>
  <c r="J65" i="1" s="1"/>
  <c r="I64" i="1"/>
  <c r="J64" i="1" s="1"/>
  <c r="I63" i="1"/>
  <c r="J63" i="1" s="1"/>
  <c r="I62" i="1"/>
  <c r="J62" i="1" s="1"/>
  <c r="I61" i="1"/>
  <c r="J61" i="1" s="1"/>
  <c r="I60" i="1"/>
  <c r="J60" i="1" s="1"/>
  <c r="I59" i="1"/>
  <c r="J59" i="1" s="1"/>
  <c r="I58" i="1"/>
  <c r="J58" i="1" s="1"/>
  <c r="I57" i="1"/>
  <c r="J57" i="1" s="1"/>
  <c r="I56" i="1"/>
  <c r="J56" i="1" s="1"/>
  <c r="I55" i="1"/>
  <c r="J55" i="1" s="1"/>
  <c r="I54" i="1"/>
  <c r="J54" i="1" s="1"/>
  <c r="I53" i="1"/>
  <c r="J53" i="1" s="1"/>
  <c r="I52" i="1"/>
  <c r="J52" i="1" s="1"/>
  <c r="I51" i="1"/>
  <c r="J51" i="1" s="1"/>
  <c r="I50" i="1"/>
  <c r="J50" i="1" s="1"/>
  <c r="I49" i="1"/>
  <c r="J49" i="1" s="1"/>
  <c r="I48" i="1"/>
  <c r="J48" i="1" s="1"/>
  <c r="I47" i="1"/>
  <c r="J47" i="1" s="1"/>
  <c r="I46" i="1"/>
  <c r="J46" i="1" s="1"/>
  <c r="I45" i="1"/>
  <c r="J45" i="1" s="1"/>
  <c r="I44" i="1"/>
  <c r="J44" i="1" s="1"/>
  <c r="I43" i="1"/>
  <c r="J43" i="1" s="1"/>
  <c r="I42" i="1"/>
  <c r="J42" i="1" s="1"/>
  <c r="I41" i="1"/>
  <c r="J41" i="1" s="1"/>
  <c r="I40" i="1"/>
  <c r="J40" i="1" s="1"/>
  <c r="I39" i="1"/>
  <c r="J39" i="1" s="1"/>
  <c r="I38" i="1"/>
  <c r="J38" i="1" s="1"/>
  <c r="I37" i="1"/>
  <c r="J37" i="1" s="1"/>
  <c r="I36" i="1"/>
  <c r="J36" i="1" s="1"/>
  <c r="I35" i="1"/>
  <c r="J35" i="1" s="1"/>
  <c r="I34" i="1"/>
  <c r="J34" i="1" s="1"/>
  <c r="I33" i="1"/>
  <c r="J33" i="1" s="1"/>
  <c r="I32" i="1"/>
  <c r="J32" i="1" s="1"/>
  <c r="I31" i="1"/>
  <c r="J31" i="1" s="1"/>
  <c r="I30" i="1"/>
  <c r="J30" i="1" s="1"/>
  <c r="I29" i="1"/>
  <c r="J29" i="1" s="1"/>
  <c r="I28" i="1"/>
  <c r="J28" i="1" s="1"/>
  <c r="I27" i="1"/>
  <c r="J27" i="1" s="1"/>
  <c r="I26" i="1"/>
  <c r="J26" i="1" s="1"/>
  <c r="I25" i="1"/>
  <c r="J25" i="1" s="1"/>
  <c r="I24" i="1"/>
  <c r="J24" i="1" s="1"/>
  <c r="I23" i="1"/>
  <c r="J23" i="1" s="1"/>
  <c r="I22" i="1"/>
  <c r="J22" i="1" s="1"/>
  <c r="I21" i="1"/>
  <c r="J21" i="1" s="1"/>
  <c r="I20" i="1"/>
  <c r="J20" i="1" s="1"/>
  <c r="I19" i="1"/>
  <c r="J19" i="1" s="1"/>
  <c r="I18" i="1"/>
  <c r="J18" i="1" s="1"/>
  <c r="I17" i="1"/>
  <c r="J17" i="1" s="1"/>
  <c r="I16" i="1"/>
  <c r="J16" i="1" s="1"/>
  <c r="I15" i="1"/>
  <c r="J15" i="1" s="1"/>
  <c r="I14" i="1"/>
  <c r="J14" i="1" s="1"/>
  <c r="I13" i="1"/>
  <c r="J13" i="1" s="1"/>
  <c r="I12" i="1"/>
  <c r="J12" i="1" s="1"/>
  <c r="I11" i="1"/>
  <c r="J11" i="1" s="1"/>
  <c r="I10" i="1"/>
  <c r="J10" i="1" s="1"/>
  <c r="I9" i="1"/>
  <c r="I8" i="1"/>
  <c r="J8" i="1" s="1"/>
  <c r="I7" i="1"/>
  <c r="J7" i="1" s="1"/>
  <c r="I6" i="1"/>
  <c r="J6" i="1" s="1"/>
  <c r="I5" i="1"/>
  <c r="J5" i="1" s="1"/>
  <c r="I3" i="1"/>
  <c r="J3" i="1" s="1"/>
  <c r="I4" i="1"/>
  <c r="J4" i="1" s="1"/>
  <c r="F77" i="1"/>
  <c r="G41" i="1"/>
  <c r="G39" i="1"/>
  <c r="F63" i="1"/>
  <c r="F62" i="1"/>
  <c r="F28" i="1"/>
  <c r="F32" i="1"/>
  <c r="J81" i="1" l="1"/>
  <c r="J35" i="2"/>
  <c r="A49" i="2"/>
  <c r="J9" i="1"/>
  <c r="E7" i="12"/>
  <c r="E6" i="12"/>
  <c r="E5" i="12"/>
  <c r="A128" i="1" l="1"/>
  <c r="E4" i="12"/>
  <c r="C4" i="12"/>
  <c r="B4" i="12" l="1"/>
  <c r="A63" i="2" l="1"/>
  <c r="B63" i="2"/>
  <c r="C63" i="2"/>
  <c r="D63" i="2"/>
  <c r="J50" i="2"/>
  <c r="A142" i="1"/>
  <c r="B142" i="1"/>
  <c r="C142" i="1"/>
  <c r="D142" i="1"/>
  <c r="J129" i="1"/>
  <c r="J130" i="1" l="1"/>
  <c r="A129" i="1"/>
  <c r="J51" i="2"/>
  <c r="A51" i="2" s="1"/>
  <c r="A50" i="2"/>
  <c r="F50" i="2"/>
  <c r="E49" i="2"/>
  <c r="F49" i="2"/>
  <c r="D4" i="12"/>
  <c r="G37" i="2"/>
  <c r="G36" i="2"/>
  <c r="D4" i="5"/>
  <c r="C11" i="5" s="1"/>
  <c r="C13" i="5" s="1"/>
  <c r="G116" i="1"/>
  <c r="G115" i="1"/>
  <c r="J52" i="2" l="1"/>
  <c r="A52" i="2" s="1"/>
  <c r="J131" i="1"/>
  <c r="A130" i="1"/>
  <c r="E51" i="2"/>
  <c r="F51" i="2"/>
  <c r="E50" i="2"/>
  <c r="F52" i="2"/>
  <c r="E52" i="2"/>
  <c r="J53" i="2"/>
  <c r="A53" i="2" s="1"/>
  <c r="F4" i="12"/>
  <c r="G35" i="2"/>
  <c r="G38" i="2" s="1"/>
  <c r="G114" i="1"/>
  <c r="G117" i="1" s="1"/>
  <c r="G52" i="2" l="1"/>
  <c r="J132" i="1"/>
  <c r="A131" i="1"/>
  <c r="G53" i="2"/>
  <c r="E53" i="2"/>
  <c r="F53" i="2"/>
  <c r="J54" i="2"/>
  <c r="A54" i="2" s="1"/>
  <c r="G31" i="2"/>
  <c r="G32" i="2" s="1"/>
  <c r="G27" i="2"/>
  <c r="G26" i="2"/>
  <c r="G51" i="2" s="1"/>
  <c r="G25" i="2"/>
  <c r="G21" i="2"/>
  <c r="G17" i="2"/>
  <c r="G16" i="2"/>
  <c r="G12" i="2"/>
  <c r="G8" i="2"/>
  <c r="G4" i="2"/>
  <c r="G108" i="1"/>
  <c r="G107" i="1"/>
  <c r="G111" i="1" s="1"/>
  <c r="G102" i="1"/>
  <c r="G103" i="1"/>
  <c r="G101" i="1"/>
  <c r="G97" i="1"/>
  <c r="G98" i="1" s="1"/>
  <c r="G93" i="1"/>
  <c r="G94" i="1" s="1"/>
  <c r="G89" i="1"/>
  <c r="G90" i="1" s="1"/>
  <c r="G81" i="1"/>
  <c r="G82" i="1" s="1"/>
  <c r="G85" i="1"/>
  <c r="G86" i="1" s="1"/>
  <c r="G77" i="1"/>
  <c r="G78" i="1" s="1"/>
  <c r="G73" i="1"/>
  <c r="G72" i="1"/>
  <c r="G68" i="1"/>
  <c r="G67" i="1"/>
  <c r="G63" i="1"/>
  <c r="G62" i="1"/>
  <c r="G58" i="1"/>
  <c r="G57" i="1"/>
  <c r="G56" i="1"/>
  <c r="G52" i="1"/>
  <c r="G51" i="1"/>
  <c r="G50" i="1"/>
  <c r="G49" i="1"/>
  <c r="G48" i="1"/>
  <c r="G47" i="1"/>
  <c r="G44" i="1"/>
  <c r="G45" i="1"/>
  <c r="G46" i="1"/>
  <c r="G43" i="1"/>
  <c r="G42" i="1"/>
  <c r="G40" i="1"/>
  <c r="G38" i="1"/>
  <c r="G34" i="1"/>
  <c r="G33" i="1"/>
  <c r="G32" i="1"/>
  <c r="G28" i="1"/>
  <c r="G24" i="1"/>
  <c r="G23" i="1"/>
  <c r="G9" i="1"/>
  <c r="G13" i="1"/>
  <c r="G14" i="1" s="1"/>
  <c r="G17" i="1"/>
  <c r="G18" i="1"/>
  <c r="G19" i="1"/>
  <c r="G5" i="1"/>
  <c r="G4" i="1"/>
  <c r="G74" i="1" l="1"/>
  <c r="G20" i="1"/>
  <c r="J133" i="1"/>
  <c r="A132" i="1"/>
  <c r="G69" i="1"/>
  <c r="G25" i="1"/>
  <c r="G50" i="2"/>
  <c r="G49" i="2"/>
  <c r="E54" i="2"/>
  <c r="F54" i="2"/>
  <c r="G54" i="2"/>
  <c r="J55" i="2"/>
  <c r="A55" i="2" s="1"/>
  <c r="G13" i="2"/>
  <c r="G9" i="2"/>
  <c r="G104" i="1"/>
  <c r="G64" i="1"/>
  <c r="G22" i="2"/>
  <c r="G18" i="2"/>
  <c r="G5" i="2"/>
  <c r="G28" i="2"/>
  <c r="G59" i="1"/>
  <c r="G35" i="1"/>
  <c r="F4" i="5"/>
  <c r="G4" i="5" s="1"/>
  <c r="G53" i="1"/>
  <c r="G10" i="1"/>
  <c r="G29" i="1"/>
  <c r="G6" i="1"/>
  <c r="J134" i="1" l="1"/>
  <c r="A133" i="1"/>
  <c r="A120" i="1"/>
  <c r="B120" i="1" s="1"/>
  <c r="E55" i="2"/>
  <c r="F55" i="2"/>
  <c r="G55" i="2"/>
  <c r="J56" i="2"/>
  <c r="A56" i="2" s="1"/>
  <c r="A41" i="2"/>
  <c r="B41" i="2" s="1"/>
  <c r="J135" i="1" l="1"/>
  <c r="A134" i="1"/>
  <c r="E56" i="2"/>
  <c r="F56" i="2"/>
  <c r="G56" i="2"/>
  <c r="A64" i="2"/>
  <c r="F6" i="12"/>
  <c r="J57" i="2"/>
  <c r="A57" i="2" s="1"/>
  <c r="F5" i="12"/>
  <c r="A143" i="1"/>
  <c r="J136" i="1" l="1"/>
  <c r="A135" i="1"/>
  <c r="G57" i="2"/>
  <c r="E57" i="2"/>
  <c r="F57" i="2"/>
  <c r="C41" i="2"/>
  <c r="B64" i="2"/>
  <c r="D6" i="12"/>
  <c r="J58" i="2"/>
  <c r="A58" i="2" s="1"/>
  <c r="F7" i="12"/>
  <c r="D5" i="12"/>
  <c r="C120" i="1"/>
  <c r="B143" i="1"/>
  <c r="J137" i="1" l="1"/>
  <c r="A136" i="1"/>
  <c r="E58" i="2"/>
  <c r="F58" i="2"/>
  <c r="G58" i="2"/>
  <c r="D7" i="12"/>
  <c r="D41" i="2"/>
  <c r="D64" i="2" s="1"/>
  <c r="C64" i="2"/>
  <c r="J59" i="2"/>
  <c r="A59" i="2" s="1"/>
  <c r="D120" i="1"/>
  <c r="D143" i="1" s="1"/>
  <c r="C143" i="1"/>
  <c r="J138" i="1" l="1"/>
  <c r="A137" i="1"/>
  <c r="C16" i="12"/>
  <c r="C18" i="12" s="1"/>
  <c r="E59" i="2"/>
  <c r="F59" i="2"/>
  <c r="G59" i="2"/>
  <c r="J60" i="2"/>
  <c r="A60" i="2" s="1"/>
  <c r="J139" i="1" l="1"/>
  <c r="A138" i="1"/>
  <c r="G6" i="12"/>
  <c r="G5" i="12"/>
  <c r="G4" i="12"/>
  <c r="G60" i="2"/>
  <c r="G61" i="2" s="1"/>
  <c r="E60" i="2"/>
  <c r="F60" i="2"/>
  <c r="A139" i="1" l="1"/>
  <c r="G140" i="1"/>
  <c r="G7" i="12"/>
</calcChain>
</file>

<file path=xl/sharedStrings.xml><?xml version="1.0" encoding="utf-8"?>
<sst xmlns="http://schemas.openxmlformats.org/spreadsheetml/2006/main" count="296" uniqueCount="135">
  <si>
    <t>Type of Establishment</t>
  </si>
  <si>
    <t># Units</t>
  </si>
  <si>
    <t>TOTAL</t>
  </si>
  <si>
    <t>P=</t>
  </si>
  <si>
    <t>Peak Factor (PF) =</t>
  </si>
  <si>
    <r>
      <t>18 + (P)</t>
    </r>
    <r>
      <rPr>
        <vertAlign val="superscript"/>
        <sz val="11"/>
        <color theme="1"/>
        <rFont val="Calibri"/>
        <family val="2"/>
        <scheme val="minor"/>
      </rPr>
      <t>1/2</t>
    </r>
  </si>
  <si>
    <r>
      <t>4 + (P)</t>
    </r>
    <r>
      <rPr>
        <vertAlign val="superscript"/>
        <sz val="11"/>
        <color theme="1"/>
        <rFont val="Calibri"/>
        <family val="2"/>
        <scheme val="minor"/>
      </rPr>
      <t>1/2</t>
    </r>
  </si>
  <si>
    <t>(a) The DOH county health department shall accept, for other than residences and food operations, metered water use data in lieu of the estimated sewage flows set forth in Table I. For metered flow consideration, the applicant shall provide authenticated monthly water use data documenting water consumption for the most recent 12 month period for at least six similar establishments. Similar establishments are those like size operations engaged in the same type of business or service, which are located in the same type of geographic environment, and which have approximately the same operating hours. Metered flow values will not be considered to be a reliable indicator of typical water use where one or more of the establishments utilized in the sample has exceeded the monthly flow average for all six establishments by more than 25 percent or where the different establishments demonstrate wide variations in monthly flow totals. When metered flow data is accepted in lieu of estimated flows found in Table I, the highest flow which occurred in any month for any of the six similar establishments shall be used for system sizing purposes. Except for food operations which exceed domestic sewage waste quality parameters as defined in subsection 64E-6.002(15), F.A.C., where an existing establishment which has been in continuous operation for the previous 24 months seeks to utilize its own metered flows, the applicant shall provide authenticated monthly water use data documenting water consumption for the most recent 24 month period. The highest monthly metered flow value for an existing establishment shall be used for system sizing purposes.</t>
  </si>
  <si>
    <t>(b) When onsite systems use multiple strategies to reduce the total estimated sewage flow or the drainfield size, only one reduction method shall be credited.</t>
  </si>
  <si>
    <t>64E-6.008 System Size Determinations</t>
  </si>
  <si>
    <t>Footnotes</t>
  </si>
  <si>
    <t>1. For food operations, kitchen wastewater flows shall normally be calculated as 66 percent of the total establishment wastewater flow.</t>
  </si>
  <si>
    <t>2. Systems serving high volume establishments, such as restaurants, convenience stores and service stations located near interstate type highways and similar high-traffic areas, require special sizing consideration due to expected above average sewage volume. Minimum estimated flows for these facilities shall be 3.0 times the volumes determined from the Table I figures.</t>
  </si>
  <si>
    <t>3. For residences, the volume of wastewater shall be calculated as 50 percent blackwater and 50 percent graywater.</t>
  </si>
  <si>
    <t>4. Where the number of bedrooms indicated on the floor plan and the corresponding building area of a dwelling unit in Table I do not coincide, the criteria which will result in the greatest estimated sewage flow shall apply.</t>
  </si>
  <si>
    <t>5. Convenience store estimated sewage flows shall be determined by adding flows for food outlets and service stations as appropriate to the products and services offered.</t>
  </si>
  <si>
    <t>6. Estimated flows for residential systems assumes a maximum occupancy of two persons per bedroom. Where residential care facilities will house more than two persons in any bedroom, estimated flows shall be increased by 50 gallons per each additional occupant.</t>
  </si>
  <si>
    <t>PART 2 WASTEWATER COLLECTION AND TRANSMISSION SYSTEMS</t>
  </si>
  <si>
    <t>(1) Minimum design flows for systems serving any structure, building or group of buildings shall be based on the estimated daily sewage flow as determined from previous tabs.</t>
  </si>
  <si>
    <t>10 State Standards</t>
  </si>
  <si>
    <t>Peak Factor</t>
  </si>
  <si>
    <t>Other</t>
  </si>
  <si>
    <t>Total Peak Hour Flow (GPD)</t>
  </si>
  <si>
    <t>Total Peak Hour Flow (GPM)</t>
  </si>
  <si>
    <r>
      <t xml:space="preserve">All wastewater pipe, material, equipment and appurtenances shall be new, and shall conform to Section 2, Technical Specifications and Section 3, Utilities Detail Drawings.  Wastewater systems shall be designed to maintain adequate flows and standards as established by Florida Department of Environmental Protection (FDEP), </t>
    </r>
    <r>
      <rPr>
        <b/>
        <sz val="11"/>
        <color theme="1"/>
        <rFont val="Calibri"/>
        <family val="2"/>
        <scheme val="minor"/>
      </rPr>
      <t xml:space="preserve">using the equivalent residential connection (ERC) value of 250 gallons per day per residential unit (broken down to 100 gallons per day per person and 2.5 people per household) and F.A.C. 64E-6.008 for nonresidential.  </t>
    </r>
    <r>
      <rPr>
        <sz val="11"/>
        <color theme="1"/>
        <rFont val="Calibri"/>
        <family val="2"/>
        <scheme val="minor"/>
      </rPr>
      <t>All wastewater projects shall be designed to preclude the deliberate introduction of storm water, surface water, groundwater, roof runoff, subsurface drainage, swimming pool drainage, air conditioning system condensate water, non-contact cooling water, and sources of uncontaminated wastewater as specified in F.A.C. Chapter 62-610 and comply with Ordinance 2012-13 “Collier County Industrial Pretreatment Ordinance.”</t>
    </r>
  </si>
  <si>
    <t>Special attention shall be given to gravity lines that receive flows from wastewater transmission or re-pumping facilities. Due care shall be taken in these cases to ensure that no surcharge conditions occur downstream due to excessive flow rates. Under no conditions shall pipe of a diameter larger than that necessary for proper hydraulic design as determined by the COUNTY Growth Management Division or Public Utilities Planning and Project Management Department be permitted for use on any project.</t>
  </si>
  <si>
    <t>A = Type of Unit</t>
  </si>
  <si>
    <t>B = Number of Units</t>
  </si>
  <si>
    <t>C = Population per Unit</t>
  </si>
  <si>
    <t>D = Total Population
(B x C)</t>
  </si>
  <si>
    <t>E = Per Capita Flow (gpd)</t>
  </si>
  <si>
    <t>F = Total Average Daily Flow (gpd)
(D x E)</t>
  </si>
  <si>
    <t>G = Peak hour flow (gpm)</t>
  </si>
  <si>
    <t>Residence*</t>
  </si>
  <si>
    <t>*100 gal/day per person and 2.5 people per household = 250 GPD per residential unit per Collier County Design Criteria, Part 2 "Wastewater Collection and Transmission Systems"</t>
  </si>
  <si>
    <t>(total population / 1000)</t>
  </si>
  <si>
    <t>GPD/Unit</t>
  </si>
  <si>
    <t>Residential*</t>
  </si>
  <si>
    <t>Commercial**</t>
  </si>
  <si>
    <t>Institutional**</t>
  </si>
  <si>
    <t>**Use population equivalent based on average daily flow.</t>
  </si>
  <si>
    <t xml:space="preserve">Peak Factor = </t>
  </si>
  <si>
    <t>Note:  Peak factor calculation per 10 State Standards.</t>
  </si>
  <si>
    <t>Index</t>
  </si>
  <si>
    <t>Count</t>
  </si>
  <si>
    <t>Print the below summary.</t>
  </si>
  <si>
    <t>Enter number of units above.</t>
  </si>
  <si>
    <t>Project Capacity - RESIDENTIAL</t>
  </si>
  <si>
    <t>Project Capacity - COMMERCIAL</t>
  </si>
  <si>
    <t>Project Capacity - INSTITUTIONAL</t>
  </si>
  <si>
    <t>Project Capacity - MIXED USE</t>
  </si>
  <si>
    <t>per passenger</t>
  </si>
  <si>
    <t>per employee per 8-hour shift</t>
  </si>
  <si>
    <t>Barber &amp; beauty shop</t>
  </si>
  <si>
    <t>per service chair</t>
  </si>
  <si>
    <t>GPD</t>
  </si>
  <si>
    <t>Bowling alley, restroom waste only</t>
  </si>
  <si>
    <t>per lane</t>
  </si>
  <si>
    <t>per resident</t>
  </si>
  <si>
    <t>per practitioner</t>
  </si>
  <si>
    <t>per non-food service vendor space</t>
  </si>
  <si>
    <t>per limited food service establishment</t>
  </si>
  <si>
    <t>Flea market</t>
  </si>
  <si>
    <t>Operating days per week:</t>
  </si>
  <si>
    <t>per food service establishment using single service articles only, per square foot of floor space</t>
  </si>
  <si>
    <t>Showers provided?</t>
  </si>
  <si>
    <t>per member or patron</t>
  </si>
  <si>
    <t>Operating hours per day:</t>
  </si>
  <si>
    <t>per seat</t>
  </si>
  <si>
    <t>Bar and cocktail lounge, per seat</t>
  </si>
  <si>
    <t>Drive-in restaurant, per car space</t>
  </si>
  <si>
    <t>Carry-out only, including caterers, 
per square foot of floor space</t>
  </si>
  <si>
    <t>Institutions, per meal</t>
  </si>
  <si>
    <r>
      <rPr>
        <i/>
        <sz val="11"/>
        <color theme="1"/>
        <rFont val="Calibri"/>
        <family val="2"/>
        <scheme val="minor"/>
      </rPr>
      <t>Add</t>
    </r>
    <r>
      <rPr>
        <sz val="11"/>
        <color theme="1"/>
        <rFont val="Calibri"/>
        <family val="2"/>
        <scheme val="minor"/>
      </rPr>
      <t xml:space="preserve"> per pool table or video game</t>
    </r>
  </si>
  <si>
    <r>
      <rPr>
        <i/>
        <sz val="11"/>
        <color theme="1"/>
        <rFont val="Calibri"/>
        <family val="2"/>
        <scheme val="minor"/>
      </rPr>
      <t>Add</t>
    </r>
    <r>
      <rPr>
        <sz val="11"/>
        <color theme="1"/>
        <rFont val="Calibri"/>
        <family val="2"/>
        <scheme val="minor"/>
      </rPr>
      <t xml:space="preserve"> per employee per 8-hour shift</t>
    </r>
  </si>
  <si>
    <r>
      <rPr>
        <i/>
        <sz val="11"/>
        <rFont val="Calibri"/>
        <family val="2"/>
        <scheme val="minor"/>
      </rPr>
      <t>Add</t>
    </r>
    <r>
      <rPr>
        <sz val="11"/>
        <rFont val="Calibri"/>
        <family val="2"/>
        <scheme val="minor"/>
      </rPr>
      <t xml:space="preserve"> for deli, per square foot of floor space</t>
    </r>
  </si>
  <si>
    <r>
      <rPr>
        <i/>
        <sz val="11"/>
        <rFont val="Calibri"/>
        <family val="2"/>
        <scheme val="minor"/>
      </rPr>
      <t>Add</t>
    </r>
    <r>
      <rPr>
        <sz val="11"/>
        <rFont val="Calibri"/>
        <family val="2"/>
        <scheme val="minor"/>
      </rPr>
      <t xml:space="preserve"> for bakery, per square foot of floor space</t>
    </r>
  </si>
  <si>
    <r>
      <rPr>
        <i/>
        <sz val="11"/>
        <rFont val="Calibri"/>
        <family val="2"/>
        <scheme val="minor"/>
      </rPr>
      <t>Add</t>
    </r>
    <r>
      <rPr>
        <sz val="11"/>
        <rFont val="Calibri"/>
        <family val="2"/>
        <scheme val="minor"/>
      </rPr>
      <t xml:space="preserve"> for meat department, per square foot of floor space</t>
    </r>
  </si>
  <si>
    <r>
      <rPr>
        <i/>
        <sz val="11"/>
        <color theme="1"/>
        <rFont val="Calibri"/>
        <family val="2"/>
        <scheme val="minor"/>
      </rPr>
      <t>Add</t>
    </r>
    <r>
      <rPr>
        <sz val="11"/>
        <color theme="1"/>
        <rFont val="Calibri"/>
        <family val="2"/>
        <scheme val="minor"/>
      </rPr>
      <t xml:space="preserve"> per water closet</t>
    </r>
  </si>
  <si>
    <t>Food Outlets, excluding deli, bakery, or meat department, per square foot of floor space</t>
  </si>
  <si>
    <t>Regular, per room</t>
  </si>
  <si>
    <t>Resort hotels, camps, cottages, per room</t>
  </si>
  <si>
    <r>
      <rPr>
        <i/>
        <sz val="11"/>
        <color theme="1"/>
        <rFont val="Calibri"/>
        <family val="2"/>
        <scheme val="minor"/>
      </rPr>
      <t>Add</t>
    </r>
    <r>
      <rPr>
        <sz val="11"/>
        <color theme="1"/>
        <rFont val="Calibri"/>
        <family val="2"/>
        <scheme val="minor"/>
      </rPr>
      <t xml:space="preserve"> for establishments with self service laundry facilities, per machine</t>
    </r>
  </si>
  <si>
    <t>per single wide mobile home space</t>
  </si>
  <si>
    <t>per double wide mobile home space</t>
  </si>
  <si>
    <t>Office building</t>
  </si>
  <si>
    <t>Country club</t>
  </si>
  <si>
    <t>Food operations</t>
  </si>
  <si>
    <t>Mobile home park</t>
  </si>
  <si>
    <r>
      <t xml:space="preserve">per employee per 8-hour shift </t>
    </r>
    <r>
      <rPr>
        <i/>
        <sz val="11"/>
        <color theme="1"/>
        <rFont val="Calibri"/>
        <family val="2"/>
        <scheme val="minor"/>
      </rPr>
      <t>or</t>
    </r>
  </si>
  <si>
    <r>
      <t xml:space="preserve">per square foot of floor space, </t>
    </r>
    <r>
      <rPr>
        <i/>
        <sz val="11"/>
        <color theme="1"/>
        <rFont val="Calibri"/>
        <family val="2"/>
        <scheme val="minor"/>
      </rPr>
      <t>whichever is greater</t>
    </r>
  </si>
  <si>
    <t>MAXIMUM</t>
  </si>
  <si>
    <t>Without water and sewer hookups, per RV space</t>
  </si>
  <si>
    <t>With water and sewer hookups, per RV space</t>
  </si>
  <si>
    <r>
      <t xml:space="preserve">Restaurant operating </t>
    </r>
    <r>
      <rPr>
        <sz val="11"/>
        <color theme="1"/>
        <rFont val="Calibri"/>
        <family val="2"/>
      </rPr>
      <t>16 hours or less per day</t>
    </r>
    <r>
      <rPr>
        <sz val="11"/>
        <color theme="1"/>
        <rFont val="Calibri"/>
        <family val="2"/>
        <scheme val="minor"/>
      </rPr>
      <t>, per seat</t>
    </r>
  </si>
  <si>
    <r>
      <t xml:space="preserve">Restaurant operating more than </t>
    </r>
    <r>
      <rPr>
        <sz val="11"/>
        <color theme="1"/>
        <rFont val="Calibri"/>
        <family val="2"/>
      </rPr>
      <t>16 hours per day</t>
    </r>
    <r>
      <rPr>
        <sz val="11"/>
        <color theme="1"/>
        <rFont val="Calibri"/>
        <family val="2"/>
        <scheme val="minor"/>
      </rPr>
      <t>, per seat</t>
    </r>
  </si>
  <si>
    <t>Restaurant using single service articles only and operating 16 hours or less per day, per seat</t>
  </si>
  <si>
    <t>Restaurant using single service articles only and operating more than 16 hours per day, per seat</t>
  </si>
  <si>
    <t>per square foot of floor space</t>
  </si>
  <si>
    <t>Transient recreational vehicle park, overnight stay</t>
  </si>
  <si>
    <t>per restroom</t>
  </si>
  <si>
    <t>per person</t>
  </si>
  <si>
    <t>Veterinary clinic</t>
  </si>
  <si>
    <t>per practicioner</t>
  </si>
  <si>
    <t>per kennel, stall or cage</t>
  </si>
  <si>
    <t>per loading bay</t>
  </si>
  <si>
    <t>Warehouse, excluding offices and living quarters</t>
  </si>
  <si>
    <t>Factory, exclusive of industrial waste</t>
  </si>
  <si>
    <t>Doctor and dentist office</t>
  </si>
  <si>
    <t>Hotel or motel</t>
  </si>
  <si>
    <t>Service station</t>
  </si>
  <si>
    <t>Shopping center, without food or laundry</t>
  </si>
  <si>
    <t>Stadium, race track, or ball park</t>
  </si>
  <si>
    <t>Store</t>
  </si>
  <si>
    <t>Swimming and bathing facility, public</t>
  </si>
  <si>
    <t>Theater or auditorium</t>
  </si>
  <si>
    <t>Airport, bus terminal, train station, port or dock facility, restroom waste only</t>
  </si>
  <si>
    <t>per water closet</t>
  </si>
  <si>
    <t>Total Average Daily Flow (GPD)</t>
  </si>
  <si>
    <t>Subtotal</t>
  </si>
  <si>
    <t>Type</t>
  </si>
  <si>
    <t>per bed</t>
  </si>
  <si>
    <t>Park, public picnic</t>
  </si>
  <si>
    <t>School</t>
  </si>
  <si>
    <t>Regularly prepared meals per day:</t>
  </si>
  <si>
    <t>Showers?</t>
  </si>
  <si>
    <t>Cafeteria?</t>
  </si>
  <si>
    <t>toilets only, per person</t>
  </si>
  <si>
    <t>bathhouse, showers &amp; toilets, per person</t>
  </si>
  <si>
    <t>boarding type, per student</t>
  </si>
  <si>
    <r>
      <t xml:space="preserve">day type, </t>
    </r>
    <r>
      <rPr>
        <sz val="11"/>
        <color theme="1"/>
        <rFont val="Calibri"/>
        <family val="2"/>
        <scheme val="minor"/>
      </rPr>
      <t>per worker</t>
    </r>
  </si>
  <si>
    <t>Work/construction camps, semi-permanent</t>
  </si>
  <si>
    <t>per worker</t>
  </si>
  <si>
    <r>
      <t>per self-storage unit (</t>
    </r>
    <r>
      <rPr>
        <sz val="11"/>
        <color theme="1"/>
        <rFont val="Calibri"/>
        <family val="2"/>
      </rPr>
      <t>first</t>
    </r>
    <r>
      <rPr>
        <sz val="11"/>
        <color theme="1"/>
        <rFont val="Calibri"/>
        <family val="2"/>
        <scheme val="minor"/>
      </rPr>
      <t xml:space="preserve"> 200 units)</t>
    </r>
  </si>
  <si>
    <t>per self-storage unit (additional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</si>
</sst>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0.0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u/>
      <sz val="9"/>
      <color theme="1"/>
      <name val="Arial"/>
      <family val="2"/>
    </font>
    <font>
      <sz val="9"/>
      <color theme="1"/>
      <name val="Arial"/>
      <family val="2"/>
    </font>
    <font>
      <sz val="11"/>
      <name val="Calibri"/>
      <family val="2"/>
      <scheme val="minor"/>
    </font>
    <font>
      <vertAlign val="superscript"/>
      <sz val="11"/>
      <color theme="1"/>
      <name val="Calibri"/>
      <family val="2"/>
      <scheme val="minor"/>
    </font>
    <font>
      <i/>
      <sz val="11"/>
      <color rgb="FF7F7F7F"/>
      <name val="Calibri"/>
      <family val="2"/>
      <scheme val="minor"/>
    </font>
    <font>
      <b/>
      <i/>
      <sz val="11"/>
      <color theme="1"/>
      <name val="Calibri"/>
      <family val="2"/>
      <scheme val="minor"/>
    </font>
    <font>
      <i/>
      <sz val="11"/>
      <color theme="1"/>
      <name val="Calibri"/>
      <family val="2"/>
      <scheme val="minor"/>
    </font>
    <font>
      <b/>
      <sz val="11"/>
      <color rgb="FFC00000"/>
      <name val="Calibri"/>
      <family val="2"/>
      <scheme val="minor"/>
    </font>
    <font>
      <sz val="11"/>
      <color rgb="FFC00000"/>
      <name val="Calibri"/>
      <family val="2"/>
      <scheme val="minor"/>
    </font>
    <font>
      <i/>
      <sz val="11"/>
      <name val="Calibri"/>
      <family val="2"/>
      <scheme val="minor"/>
    </font>
    <font>
      <sz val="11"/>
      <color theme="1"/>
      <name val="Calibri"/>
      <family val="2"/>
    </font>
  </fonts>
  <fills count="8">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5" tint="0.59999389629810485"/>
        <bgColor indexed="64"/>
      </patternFill>
    </fill>
    <fill>
      <patternFill patternType="lightTrellis"/>
    </fill>
    <fill>
      <patternFill patternType="solid">
        <fgColor rgb="FFCCEC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mediumDashDotDot">
        <color auto="1"/>
      </bottom>
      <diagonal/>
    </border>
    <border>
      <left/>
      <right/>
      <top style="mediumDashDotDot">
        <color auto="1"/>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4">
    <xf numFmtId="0" fontId="0" fillId="0" borderId="0"/>
    <xf numFmtId="43" fontId="1" fillId="0" borderId="0" applyFont="0" applyFill="0" applyBorder="0" applyAlignment="0" applyProtection="0"/>
    <xf numFmtId="0" fontId="1" fillId="0" borderId="0"/>
    <xf numFmtId="0" fontId="8" fillId="0" borderId="0" applyNumberFormat="0" applyFill="0" applyBorder="0" applyAlignment="0" applyProtection="0"/>
  </cellStyleXfs>
  <cellXfs count="152">
    <xf numFmtId="0" fontId="0" fillId="0" borderId="0" xfId="0"/>
    <xf numFmtId="0" fontId="0" fillId="0" borderId="0" xfId="0" applyAlignment="1">
      <alignment horizontal="center" vertical="center" wrapText="1"/>
    </xf>
    <xf numFmtId="0" fontId="0" fillId="0" borderId="0" xfId="0" applyAlignment="1">
      <alignment vertical="center" wrapText="1"/>
    </xf>
    <xf numFmtId="0" fontId="4" fillId="0" borderId="0" xfId="0" applyFont="1" applyAlignment="1">
      <alignment horizontal="right"/>
    </xf>
    <xf numFmtId="0" fontId="5" fillId="0" borderId="0" xfId="0" applyFont="1"/>
    <xf numFmtId="0" fontId="5" fillId="0" borderId="0" xfId="0" applyFont="1" applyAlignment="1">
      <alignment horizontal="center"/>
    </xf>
    <xf numFmtId="0" fontId="1" fillId="0" borderId="5" xfId="0" applyFont="1" applyBorder="1" applyAlignment="1">
      <alignment horizontal="center"/>
    </xf>
    <xf numFmtId="0" fontId="1" fillId="0" borderId="0" xfId="0" applyFont="1" applyAlignment="1">
      <alignment horizontal="center"/>
    </xf>
    <xf numFmtId="164" fontId="1" fillId="0" borderId="6" xfId="0" applyNumberFormat="1" applyFont="1" applyBorder="1" applyAlignment="1">
      <alignment horizontal="center"/>
    </xf>
    <xf numFmtId="0" fontId="0" fillId="0" borderId="0" xfId="0" applyAlignment="1">
      <alignment horizontal="center"/>
    </xf>
    <xf numFmtId="0" fontId="0" fillId="2" borderId="1" xfId="0" applyFill="1" applyBorder="1" applyAlignment="1">
      <alignment horizontal="center" vertical="top" wrapText="1"/>
    </xf>
    <xf numFmtId="0" fontId="3" fillId="0" borderId="0" xfId="0" applyFont="1" applyAlignment="1">
      <alignment horizont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4" borderId="1" xfId="0" applyFill="1" applyBorder="1" applyAlignment="1">
      <alignment horizontal="center"/>
    </xf>
    <xf numFmtId="0" fontId="2" fillId="4"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4" borderId="3" xfId="0" applyFill="1" applyBorder="1" applyAlignment="1">
      <alignment horizontal="center"/>
    </xf>
    <xf numFmtId="0" fontId="0" fillId="0" borderId="0" xfId="0" applyAlignment="1">
      <alignment horizontal="left" vertical="top" wrapText="1"/>
    </xf>
    <xf numFmtId="0" fontId="2" fillId="0" borderId="0" xfId="0" applyFont="1" applyAlignment="1">
      <alignment horizontal="center"/>
    </xf>
    <xf numFmtId="0" fontId="0" fillId="0" borderId="0" xfId="0" applyAlignment="1">
      <alignment horizontal="left" wrapText="1"/>
    </xf>
    <xf numFmtId="0" fontId="0" fillId="0" borderId="0" xfId="0" applyAlignment="1">
      <alignment vertical="top" wrapText="1"/>
    </xf>
    <xf numFmtId="0" fontId="2" fillId="0" borderId="0" xfId="0" applyFont="1" applyAlignment="1">
      <alignment horizontal="center" wrapText="1"/>
    </xf>
    <xf numFmtId="0" fontId="0" fillId="0" borderId="0" xfId="0" applyAlignment="1">
      <alignment wrapText="1"/>
    </xf>
    <xf numFmtId="0" fontId="2" fillId="0" borderId="0" xfId="0" applyFont="1" applyAlignment="1">
      <alignment wrapText="1"/>
    </xf>
    <xf numFmtId="0" fontId="3" fillId="0" borderId="0" xfId="0" applyFont="1" applyAlignment="1">
      <alignment horizontal="center" wrapText="1"/>
    </xf>
    <xf numFmtId="0" fontId="3" fillId="0" borderId="0" xfId="0" applyFont="1" applyAlignment="1">
      <alignment wrapText="1"/>
    </xf>
    <xf numFmtId="0" fontId="0" fillId="3" borderId="1" xfId="0" applyFill="1" applyBorder="1" applyAlignment="1">
      <alignment horizontal="center" wrapText="1"/>
    </xf>
    <xf numFmtId="0" fontId="0" fillId="2" borderId="3" xfId="0" applyFill="1" applyBorder="1" applyAlignment="1">
      <alignment horizontal="center" vertical="top" wrapText="1"/>
    </xf>
    <xf numFmtId="0" fontId="0" fillId="0" borderId="1" xfId="0" applyBorder="1" applyAlignment="1">
      <alignment horizontal="center" wrapText="1"/>
    </xf>
    <xf numFmtId="0" fontId="0" fillId="0" borderId="3" xfId="0" applyBorder="1" applyAlignment="1">
      <alignment horizontal="center" wrapText="1"/>
    </xf>
    <xf numFmtId="0" fontId="1" fillId="0" borderId="0" xfId="0" applyFont="1" applyAlignment="1">
      <alignment horizontal="right"/>
    </xf>
    <xf numFmtId="0" fontId="0" fillId="0" borderId="0" xfId="0" applyAlignment="1">
      <alignment horizontal="right"/>
    </xf>
    <xf numFmtId="0" fontId="0" fillId="5" borderId="1" xfId="0" applyFill="1" applyBorder="1" applyAlignment="1">
      <alignment horizontal="center" vertical="top" wrapText="1"/>
    </xf>
    <xf numFmtId="0" fontId="0" fillId="6" borderId="1" xfId="0" applyFill="1" applyBorder="1" applyAlignment="1">
      <alignment horizontal="center" wrapText="1"/>
    </xf>
    <xf numFmtId="0" fontId="6" fillId="0" borderId="0" xfId="2" applyFont="1" applyAlignment="1">
      <alignment horizontal="right"/>
    </xf>
    <xf numFmtId="0" fontId="0" fillId="0" borderId="0" xfId="0" applyAlignment="1">
      <alignment horizontal="center" wrapText="1"/>
    </xf>
    <xf numFmtId="0" fontId="0" fillId="4" borderId="1" xfId="0" applyFill="1" applyBorder="1" applyAlignment="1">
      <alignment horizontal="center" wrapText="1"/>
    </xf>
    <xf numFmtId="3" fontId="0" fillId="0" borderId="1" xfId="0" applyNumberFormat="1" applyBorder="1" applyAlignment="1">
      <alignment horizontal="center" wrapText="1"/>
    </xf>
    <xf numFmtId="3" fontId="0" fillId="5" borderId="1" xfId="0" applyNumberFormat="1" applyFill="1" applyBorder="1" applyAlignment="1">
      <alignment horizontal="center" wrapText="1"/>
    </xf>
    <xf numFmtId="3" fontId="0" fillId="5" borderId="1" xfId="0" quotePrefix="1" applyNumberFormat="1" applyFill="1" applyBorder="1" applyAlignment="1">
      <alignment horizontal="center" wrapText="1"/>
    </xf>
    <xf numFmtId="165" fontId="0" fillId="0" borderId="1" xfId="0" applyNumberFormat="1" applyBorder="1" applyAlignment="1">
      <alignment horizontal="center" wrapText="1"/>
    </xf>
    <xf numFmtId="166" fontId="1" fillId="0" borderId="0" xfId="0" applyNumberFormat="1" applyFont="1" applyAlignment="1">
      <alignment horizontal="center"/>
    </xf>
    <xf numFmtId="3" fontId="0" fillId="0" borderId="0" xfId="0" applyNumberFormat="1" applyAlignment="1">
      <alignment wrapText="1"/>
    </xf>
    <xf numFmtId="3" fontId="0" fillId="3" borderId="1" xfId="0" applyNumberFormat="1" applyFill="1" applyBorder="1" applyAlignment="1">
      <alignment horizontal="center" wrapText="1"/>
    </xf>
    <xf numFmtId="3" fontId="0" fillId="0" borderId="0" xfId="0" applyNumberFormat="1" applyAlignment="1">
      <alignment vertical="center" wrapText="1"/>
    </xf>
    <xf numFmtId="3" fontId="0" fillId="0" borderId="0" xfId="0" applyNumberFormat="1" applyAlignment="1">
      <alignment horizontal="center" vertical="center" wrapText="1"/>
    </xf>
    <xf numFmtId="3" fontId="2" fillId="3" borderId="1" xfId="0"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wrapText="1"/>
    </xf>
    <xf numFmtId="3" fontId="0" fillId="4" borderId="1" xfId="0" applyNumberFormat="1" applyFill="1" applyBorder="1" applyAlignment="1">
      <alignment horizontal="center"/>
    </xf>
    <xf numFmtId="3" fontId="0" fillId="0" borderId="0" xfId="0" applyNumberFormat="1"/>
    <xf numFmtId="3" fontId="0" fillId="0" borderId="1" xfId="1" applyNumberFormat="1" applyFont="1" applyBorder="1" applyAlignment="1">
      <alignment horizontal="center" vertical="center"/>
    </xf>
    <xf numFmtId="3" fontId="0" fillId="0" borderId="2" xfId="0" applyNumberFormat="1" applyBorder="1" applyAlignment="1">
      <alignment horizontal="center" vertical="center"/>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3" fontId="12" fillId="7" borderId="1" xfId="0" applyNumberFormat="1" applyFont="1" applyFill="1" applyBorder="1" applyAlignment="1" applyProtection="1">
      <alignment horizontal="center" vertical="center" wrapText="1"/>
      <protection locked="0"/>
    </xf>
    <xf numFmtId="0" fontId="0" fillId="0" borderId="13" xfId="0" applyBorder="1" applyAlignment="1">
      <alignment horizontal="center" vertical="center" wrapText="1"/>
    </xf>
    <xf numFmtId="3" fontId="0" fillId="0" borderId="13" xfId="0" applyNumberFormat="1" applyBorder="1" applyAlignment="1">
      <alignment horizontal="center" vertical="center" wrapText="1"/>
    </xf>
    <xf numFmtId="0" fontId="0" fillId="0" borderId="15" xfId="0" applyBorder="1" applyAlignment="1">
      <alignment horizontal="center" vertical="center" wrapText="1"/>
    </xf>
    <xf numFmtId="3" fontId="0" fillId="0" borderId="15" xfId="0" applyNumberFormat="1" applyBorder="1" applyAlignment="1">
      <alignment horizontal="center" vertical="center" wrapText="1"/>
    </xf>
    <xf numFmtId="3" fontId="12" fillId="7" borderId="13" xfId="0" applyNumberFormat="1" applyFont="1" applyFill="1" applyBorder="1" applyAlignment="1" applyProtection="1">
      <alignment horizontal="center" vertical="center" wrapText="1"/>
      <protection locked="0"/>
    </xf>
    <xf numFmtId="3" fontId="12" fillId="7" borderId="2" xfId="0" applyNumberFormat="1" applyFont="1" applyFill="1" applyBorder="1" applyAlignment="1" applyProtection="1">
      <alignment horizontal="center" vertical="center" wrapText="1"/>
      <protection locked="0"/>
    </xf>
    <xf numFmtId="3" fontId="12" fillId="7" borderId="15" xfId="0" applyNumberFormat="1" applyFont="1" applyFill="1" applyBorder="1" applyAlignment="1" applyProtection="1">
      <alignment horizontal="center" vertical="center" wrapText="1"/>
      <protection locked="0"/>
    </xf>
    <xf numFmtId="3" fontId="0" fillId="0" borderId="13" xfId="1" applyNumberFormat="1" applyFont="1" applyBorder="1" applyAlignment="1">
      <alignment horizontal="center" vertical="center" wrapText="1"/>
    </xf>
    <xf numFmtId="3" fontId="0" fillId="0" borderId="2" xfId="1" applyNumberFormat="1" applyFont="1" applyBorder="1" applyAlignment="1">
      <alignment horizontal="center" vertical="center" wrapText="1"/>
    </xf>
    <xf numFmtId="3" fontId="2" fillId="0" borderId="1" xfId="1" applyNumberFormat="1"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0" fillId="7" borderId="1" xfId="0" applyFill="1" applyBorder="1" applyAlignment="1" applyProtection="1">
      <alignment horizontal="center" vertical="center" wrapText="1"/>
      <protection locked="0"/>
    </xf>
    <xf numFmtId="0" fontId="3" fillId="0" borderId="0" xfId="0" applyFont="1" applyAlignment="1">
      <alignment horizontal="left"/>
    </xf>
    <xf numFmtId="0" fontId="0" fillId="0" borderId="0" xfId="0" applyAlignment="1">
      <alignment horizontal="left"/>
    </xf>
    <xf numFmtId="0" fontId="0" fillId="0" borderId="0" xfId="0" applyAlignment="1">
      <alignment horizontal="left" vertical="center"/>
    </xf>
    <xf numFmtId="0" fontId="11" fillId="7" borderId="1" xfId="0" applyFont="1" applyFill="1" applyBorder="1" applyAlignment="1" applyProtection="1">
      <alignment horizontal="center" vertical="center" wrapText="1"/>
      <protection locked="0"/>
    </xf>
    <xf numFmtId="0" fontId="0" fillId="0" borderId="13" xfId="0" applyBorder="1" applyAlignment="1">
      <alignment horizontal="center" vertical="center"/>
    </xf>
    <xf numFmtId="3" fontId="0" fillId="0" borderId="13" xfId="1" applyNumberFormat="1" applyFont="1" applyBorder="1" applyAlignment="1">
      <alignment horizontal="center" vertical="center"/>
    </xf>
    <xf numFmtId="0" fontId="0" fillId="0" borderId="2" xfId="0" applyBorder="1" applyAlignment="1">
      <alignment horizontal="center" vertical="center"/>
    </xf>
    <xf numFmtId="3" fontId="0" fillId="0" borderId="2" xfId="1" applyNumberFormat="1" applyFont="1" applyBorder="1" applyAlignment="1">
      <alignment horizontal="center" vertical="center"/>
    </xf>
    <xf numFmtId="3" fontId="2" fillId="0" borderId="1" xfId="0" applyNumberFormat="1" applyFont="1" applyBorder="1" applyAlignment="1">
      <alignment horizontal="center"/>
    </xf>
    <xf numFmtId="3" fontId="2" fillId="0" borderId="3" xfId="0" applyNumberFormat="1" applyFont="1" applyBorder="1" applyAlignment="1">
      <alignment horizontal="center" wrapText="1"/>
    </xf>
    <xf numFmtId="164" fontId="2" fillId="0" borderId="3" xfId="0" applyNumberFormat="1" applyFont="1" applyBorder="1" applyAlignment="1">
      <alignment horizontal="center" wrapText="1"/>
    </xf>
    <xf numFmtId="3" fontId="2" fillId="0" borderId="1" xfId="1" applyNumberFormat="1" applyFont="1" applyFill="1" applyBorder="1" applyAlignment="1" applyProtection="1">
      <alignment horizontal="center" vertical="center" wrapText="1"/>
    </xf>
    <xf numFmtId="165" fontId="2" fillId="0" borderId="1" xfId="1" applyNumberFormat="1" applyFont="1" applyFill="1" applyBorder="1" applyAlignment="1" applyProtection="1">
      <alignment horizontal="center" vertical="center" wrapText="1"/>
    </xf>
    <xf numFmtId="164" fontId="2" fillId="0" borderId="1" xfId="0" applyNumberFormat="1" applyFont="1" applyBorder="1" applyAlignment="1">
      <alignment horizontal="center" wrapText="1"/>
    </xf>
    <xf numFmtId="3" fontId="12" fillId="7" borderId="1" xfId="0" applyNumberFormat="1" applyFont="1" applyFill="1" applyBorder="1" applyAlignment="1" applyProtection="1">
      <alignment horizontal="center" wrapText="1"/>
      <protection locked="0"/>
    </xf>
    <xf numFmtId="3" fontId="12" fillId="7" borderId="13" xfId="0" applyNumberFormat="1" applyFont="1" applyFill="1" applyBorder="1" applyAlignment="1" applyProtection="1">
      <alignment horizontal="center" vertical="center"/>
      <protection locked="0"/>
    </xf>
    <xf numFmtId="3" fontId="12" fillId="7" borderId="1" xfId="0" applyNumberFormat="1" applyFont="1" applyFill="1" applyBorder="1" applyAlignment="1" applyProtection="1">
      <alignment horizontal="center" vertical="center"/>
      <protection locked="0"/>
    </xf>
    <xf numFmtId="3" fontId="12" fillId="7" borderId="2" xfId="0" applyNumberFormat="1" applyFont="1" applyFill="1" applyBorder="1" applyAlignment="1" applyProtection="1">
      <alignment horizontal="center" vertical="center"/>
      <protection locked="0"/>
    </xf>
    <xf numFmtId="0" fontId="12" fillId="7" borderId="2" xfId="0" applyFont="1" applyFill="1" applyBorder="1" applyAlignment="1" applyProtection="1">
      <alignment horizontal="center" vertical="center"/>
      <protection locked="0"/>
    </xf>
    <xf numFmtId="0" fontId="0" fillId="0" borderId="0" xfId="0" applyAlignment="1">
      <alignment wrapText="1"/>
    </xf>
    <xf numFmtId="0" fontId="3" fillId="0" borderId="0" xfId="0" applyFont="1" applyAlignment="1">
      <alignment horizont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2" fillId="3" borderId="4" xfId="0" applyFont="1" applyFill="1" applyBorder="1" applyAlignment="1">
      <alignment horizontal="right" vertical="center"/>
    </xf>
    <xf numFmtId="0" fontId="0" fillId="0" borderId="5" xfId="0" applyBorder="1" applyAlignment="1">
      <alignment wrapText="1"/>
    </xf>
    <xf numFmtId="0" fontId="9" fillId="3" borderId="3" xfId="0" applyFont="1" applyFill="1" applyBorder="1" applyAlignment="1">
      <alignment horizontal="center" wrapText="1"/>
    </xf>
    <xf numFmtId="0" fontId="9" fillId="3" borderId="7" xfId="0" applyFont="1" applyFill="1" applyBorder="1" applyAlignment="1">
      <alignment horizontal="center" wrapText="1"/>
    </xf>
    <xf numFmtId="0" fontId="9" fillId="3" borderId="4" xfId="0" applyFont="1" applyFill="1" applyBorder="1" applyAlignment="1">
      <alignment horizontal="center" wrapText="1"/>
    </xf>
    <xf numFmtId="0" fontId="0" fillId="0" borderId="13" xfId="0" applyBorder="1" applyAlignment="1">
      <alignment horizontal="center" vertical="top" wrapText="1"/>
    </xf>
    <xf numFmtId="0" fontId="2" fillId="0" borderId="13" xfId="0" applyFont="1" applyBorder="1" applyAlignment="1">
      <alignment horizontal="center" vertical="top" wrapText="1"/>
    </xf>
    <xf numFmtId="0" fontId="0" fillId="0" borderId="15" xfId="0" applyBorder="1" applyAlignment="1">
      <alignment horizontal="center" vertical="top" wrapText="1"/>
    </xf>
    <xf numFmtId="0" fontId="2" fillId="0" borderId="15" xfId="0" applyFont="1" applyBorder="1" applyAlignment="1">
      <alignment horizontal="center" vertical="top" wrapText="1"/>
    </xf>
    <xf numFmtId="0" fontId="0" fillId="0" borderId="2" xfId="0" applyBorder="1" applyAlignment="1">
      <alignment horizontal="center" vertical="top" wrapText="1"/>
    </xf>
    <xf numFmtId="0" fontId="2" fillId="0" borderId="2" xfId="0" applyFont="1" applyBorder="1" applyAlignment="1">
      <alignment horizontal="center" vertical="top" wrapText="1"/>
    </xf>
    <xf numFmtId="0" fontId="0" fillId="7" borderId="1" xfId="0" applyFill="1" applyBorder="1" applyAlignment="1" applyProtection="1">
      <alignment horizontal="center" vertical="center" wrapText="1"/>
      <protection locked="0"/>
    </xf>
    <xf numFmtId="0" fontId="8" fillId="0" borderId="8" xfId="3" applyBorder="1" applyAlignment="1">
      <alignment horizontal="center" wrapText="1"/>
    </xf>
    <xf numFmtId="0" fontId="8" fillId="0" borderId="9" xfId="3" applyBorder="1" applyAlignment="1">
      <alignment horizont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top" wrapText="1"/>
    </xf>
    <xf numFmtId="0" fontId="2" fillId="0" borderId="1" xfId="0" applyFont="1" applyBorder="1" applyAlignment="1">
      <alignment horizontal="center" vertical="top" wrapText="1"/>
    </xf>
    <xf numFmtId="0" fontId="0" fillId="0" borderId="2" xfId="0" applyBorder="1" applyAlignment="1">
      <alignment horizontal="center" vertical="center" wrapText="1"/>
    </xf>
    <xf numFmtId="0" fontId="6" fillId="0" borderId="13" xfId="0" applyFont="1" applyBorder="1" applyAlignment="1">
      <alignment horizontal="center" vertical="top" wrapText="1"/>
    </xf>
    <xf numFmtId="0" fontId="6" fillId="0" borderId="15" xfId="0" applyFont="1" applyBorder="1" applyAlignment="1">
      <alignment horizontal="center" vertical="top" wrapText="1"/>
    </xf>
    <xf numFmtId="0" fontId="3" fillId="0" borderId="0" xfId="0" applyFont="1" applyAlignment="1">
      <alignment horizontal="center" wrapText="1"/>
    </xf>
    <xf numFmtId="0" fontId="0" fillId="0" borderId="10" xfId="0" applyBorder="1" applyAlignment="1">
      <alignment horizontal="center" vertical="top" wrapText="1"/>
    </xf>
    <xf numFmtId="0" fontId="0" fillId="0" borderId="5" xfId="0" applyBorder="1" applyAlignment="1">
      <alignment horizontal="center" vertical="top" wrapText="1"/>
    </xf>
    <xf numFmtId="0" fontId="0" fillId="0" borderId="11" xfId="0" applyBorder="1" applyAlignment="1">
      <alignment horizontal="center" vertical="top" wrapText="1"/>
    </xf>
    <xf numFmtId="0" fontId="0" fillId="0" borderId="3" xfId="0" applyBorder="1" applyAlignment="1">
      <alignment horizontal="center" vertical="top" wrapText="1"/>
    </xf>
    <xf numFmtId="0" fontId="0" fillId="0" borderId="7" xfId="0" applyBorder="1" applyAlignment="1">
      <alignment horizontal="center" vertical="top" wrapText="1"/>
    </xf>
    <xf numFmtId="0" fontId="0" fillId="0" borderId="4" xfId="0" applyBorder="1" applyAlignment="1">
      <alignment horizontal="center" vertical="top" wrapText="1"/>
    </xf>
    <xf numFmtId="0" fontId="9" fillId="3" borderId="1" xfId="0" applyFont="1" applyFill="1" applyBorder="1" applyAlignment="1">
      <alignment horizontal="center" wrapText="1"/>
    </xf>
    <xf numFmtId="0" fontId="0" fillId="0" borderId="13" xfId="0" applyBorder="1" applyAlignment="1">
      <alignment horizontal="center" vertical="center" wrapText="1"/>
    </xf>
    <xf numFmtId="0" fontId="2" fillId="0" borderId="5" xfId="0" applyFont="1"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15" xfId="0" applyBorder="1" applyAlignment="1">
      <alignment horizontal="center" vertical="center" wrapText="1"/>
    </xf>
    <xf numFmtId="0" fontId="0" fillId="3" borderId="1" xfId="0" applyFill="1" applyBorder="1" applyAlignment="1">
      <alignment horizontal="center" wrapText="1"/>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9" fillId="4" borderId="3" xfId="0" applyFont="1" applyFill="1" applyBorder="1" applyAlignment="1">
      <alignment horizontal="center" wrapText="1"/>
    </xf>
    <xf numFmtId="0" fontId="9" fillId="4" borderId="7" xfId="0" applyFont="1" applyFill="1" applyBorder="1" applyAlignment="1">
      <alignment horizontal="center" wrapText="1"/>
    </xf>
    <xf numFmtId="0" fontId="9" fillId="4" borderId="4" xfId="0" applyFont="1" applyFill="1" applyBorder="1" applyAlignment="1">
      <alignment horizontal="center" wrapText="1"/>
    </xf>
    <xf numFmtId="0" fontId="0" fillId="0" borderId="7" xfId="0" applyBorder="1" applyAlignment="1">
      <alignment wrapText="1"/>
    </xf>
    <xf numFmtId="0" fontId="12" fillId="7" borderId="3" xfId="0" applyFont="1" applyFill="1" applyBorder="1" applyAlignment="1" applyProtection="1">
      <alignment horizontal="center" vertical="center" wrapText="1"/>
      <protection locked="0"/>
    </xf>
    <xf numFmtId="0" fontId="12" fillId="7" borderId="7" xfId="0" applyFont="1" applyFill="1" applyBorder="1" applyAlignment="1" applyProtection="1">
      <alignment horizontal="center" vertical="center" wrapText="1"/>
      <protection locked="0"/>
    </xf>
    <xf numFmtId="0" fontId="12" fillId="7" borderId="4" xfId="0" applyFont="1" applyFill="1" applyBorder="1" applyAlignment="1" applyProtection="1">
      <alignment horizontal="center" vertical="center" wrapText="1"/>
      <protection locked="0"/>
    </xf>
    <xf numFmtId="0" fontId="2" fillId="4" borderId="3" xfId="0" applyFont="1" applyFill="1" applyBorder="1" applyAlignment="1">
      <alignment horizontal="right" vertical="center" shrinkToFit="1"/>
    </xf>
    <xf numFmtId="0" fontId="2" fillId="4" borderId="7" xfId="0" applyFont="1" applyFill="1" applyBorder="1" applyAlignment="1">
      <alignment horizontal="right" vertical="center" shrinkToFit="1"/>
    </xf>
    <xf numFmtId="0" fontId="0" fillId="0" borderId="16"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4" borderId="1" xfId="0" applyFill="1" applyBorder="1" applyAlignment="1">
      <alignment horizontal="center" wrapText="1"/>
    </xf>
    <xf numFmtId="0" fontId="0" fillId="5" borderId="1" xfId="0" applyFill="1" applyBorder="1" applyAlignment="1">
      <alignment horizontal="center" wrapText="1"/>
    </xf>
    <xf numFmtId="0" fontId="2" fillId="0" borderId="0" xfId="0" applyFont="1" applyAlignment="1">
      <alignment horizontal="center"/>
    </xf>
  </cellXfs>
  <cellStyles count="4">
    <cellStyle name="Comma" xfId="1" builtinId="3"/>
    <cellStyle name="Explanatory Text" xfId="3" builtinId="53"/>
    <cellStyle name="Normal" xfId="0" builtinId="0"/>
    <cellStyle name="Normal 2" xfId="2" xr:uid="{00000000-0005-0000-0000-000003000000}"/>
  </cellStyles>
  <dxfs count="0"/>
  <tableStyles count="0" defaultTableStyle="TableStyleMedium2" defaultPivotStyle="PivotStyleLight16"/>
  <colors>
    <mruColors>
      <color rgb="FFCCECFF"/>
      <color rgb="FFFFFFCC"/>
      <color rgb="FFFFFF99"/>
      <color rgb="FFCCCCFF"/>
      <color rgb="FFFC20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91440</xdr:colOff>
      <xdr:row>1</xdr:row>
      <xdr:rowOff>99060</xdr:rowOff>
    </xdr:from>
    <xdr:to>
      <xdr:col>11</xdr:col>
      <xdr:colOff>586740</xdr:colOff>
      <xdr:row>29</xdr:row>
      <xdr:rowOff>175260</xdr:rowOff>
    </xdr:to>
    <xdr:pic>
      <xdr:nvPicPr>
        <xdr:cNvPr id="3" name="Picture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281940"/>
          <a:ext cx="7185660" cy="5196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I15"/>
  <sheetViews>
    <sheetView tabSelected="1" view="pageLayout" zoomScaleNormal="100" workbookViewId="0">
      <selection activeCell="B4" sqref="B4"/>
    </sheetView>
  </sheetViews>
  <sheetFormatPr defaultColWidth="9.08984375" defaultRowHeight="14.5" x14ac:dyDescent="0.35"/>
  <cols>
    <col min="1" max="1" width="14.08984375" customWidth="1"/>
    <col min="2" max="7" width="12.90625" customWidth="1"/>
    <col min="9" max="9" width="9.36328125" customWidth="1"/>
    <col min="12" max="12" width="16.36328125" customWidth="1"/>
  </cols>
  <sheetData>
    <row r="1" spans="1:9" ht="15.5" x14ac:dyDescent="0.35">
      <c r="A1" s="92" t="s">
        <v>47</v>
      </c>
      <c r="B1" s="92"/>
      <c r="C1" s="92"/>
      <c r="D1" s="92"/>
      <c r="E1" s="92"/>
      <c r="F1" s="92"/>
      <c r="G1" s="92"/>
      <c r="H1" s="11"/>
      <c r="I1" s="11"/>
    </row>
    <row r="3" spans="1:9" ht="62" customHeight="1" x14ac:dyDescent="0.35">
      <c r="A3" s="10" t="s">
        <v>26</v>
      </c>
      <c r="B3" s="10" t="s">
        <v>27</v>
      </c>
      <c r="C3" s="30" t="s">
        <v>28</v>
      </c>
      <c r="D3" s="30" t="s">
        <v>29</v>
      </c>
      <c r="E3" s="30" t="s">
        <v>30</v>
      </c>
      <c r="F3" s="10" t="s">
        <v>31</v>
      </c>
      <c r="G3" s="10" t="s">
        <v>32</v>
      </c>
    </row>
    <row r="4" spans="1:9" x14ac:dyDescent="0.35">
      <c r="A4" s="31" t="s">
        <v>33</v>
      </c>
      <c r="B4" s="86"/>
      <c r="C4" s="32">
        <v>2.5</v>
      </c>
      <c r="D4" s="40">
        <f>C4*B4</f>
        <v>0</v>
      </c>
      <c r="E4" s="32">
        <v>100</v>
      </c>
      <c r="F4" s="40">
        <f>E4*D4</f>
        <v>0</v>
      </c>
      <c r="G4" s="43">
        <f>C13*F4/24/60</f>
        <v>0</v>
      </c>
    </row>
    <row r="6" spans="1:9" x14ac:dyDescent="0.35">
      <c r="A6" s="91" t="s">
        <v>34</v>
      </c>
      <c r="B6" s="91"/>
      <c r="C6" s="91"/>
      <c r="D6" s="91"/>
      <c r="E6" s="91"/>
      <c r="F6" s="91"/>
      <c r="G6" s="91"/>
    </row>
    <row r="7" spans="1:9" x14ac:dyDescent="0.35">
      <c r="A7" s="91"/>
      <c r="B7" s="91"/>
      <c r="C7" s="91"/>
      <c r="D7" s="91"/>
      <c r="E7" s="91"/>
      <c r="F7" s="91"/>
      <c r="G7" s="91"/>
    </row>
    <row r="9" spans="1:9" ht="16.5" x14ac:dyDescent="0.35">
      <c r="A9" s="3"/>
      <c r="B9" s="37" t="s">
        <v>41</v>
      </c>
      <c r="C9" s="6" t="s">
        <v>5</v>
      </c>
    </row>
    <row r="10" spans="1:9" ht="16.5" x14ac:dyDescent="0.35">
      <c r="A10" s="4"/>
      <c r="B10" s="33"/>
      <c r="C10" s="7" t="s">
        <v>6</v>
      </c>
    </row>
    <row r="11" spans="1:9" x14ac:dyDescent="0.35">
      <c r="A11" s="4"/>
      <c r="B11" s="33" t="s">
        <v>3</v>
      </c>
      <c r="C11" s="44">
        <f>D4/1000</f>
        <v>0</v>
      </c>
      <c r="D11" t="s">
        <v>35</v>
      </c>
    </row>
    <row r="12" spans="1:9" ht="15" thickBot="1" x14ac:dyDescent="0.4">
      <c r="A12" s="4"/>
      <c r="B12" s="33"/>
      <c r="C12" s="7"/>
    </row>
    <row r="13" spans="1:9" ht="15" thickBot="1" x14ac:dyDescent="0.4">
      <c r="A13" s="4"/>
      <c r="B13" s="34" t="s">
        <v>4</v>
      </c>
      <c r="C13" s="8">
        <f>(18+(C11)^0.5)/(4+(C11)^0.5)</f>
        <v>4.5</v>
      </c>
    </row>
    <row r="14" spans="1:9" x14ac:dyDescent="0.35">
      <c r="A14" s="4"/>
      <c r="B14" s="4"/>
      <c r="C14" s="5"/>
    </row>
    <row r="15" spans="1:9" x14ac:dyDescent="0.35">
      <c r="B15" t="s">
        <v>42</v>
      </c>
    </row>
  </sheetData>
  <sheetProtection sheet="1" objects="1" scenarios="1"/>
  <mergeCells count="2">
    <mergeCell ref="A6:G7"/>
    <mergeCell ref="A1:G1"/>
  </mergeCells>
  <printOptions horizontalCentered="1"/>
  <pageMargins left="0.7" right="0.7" top="0.75" bottom="0.75" header="0.3" footer="0.3"/>
  <pageSetup orientation="portrait" horizontalDpi="1200" verticalDpi="1200" r:id="rId1"/>
  <headerFooter>
    <oddFooter>&amp;L3/30/2018&amp;RCCPU Wastewater Flow Worksheets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K143"/>
  <sheetViews>
    <sheetView view="pageLayout" topLeftCell="A78" zoomScaleNormal="100" workbookViewId="0">
      <selection activeCell="A120" sqref="A120"/>
    </sheetView>
  </sheetViews>
  <sheetFormatPr defaultColWidth="9.08984375" defaultRowHeight="14.5" x14ac:dyDescent="0.35"/>
  <cols>
    <col min="1" max="4" width="12.6328125" style="25" customWidth="1"/>
    <col min="5" max="5" width="7.54296875" style="45" customWidth="1"/>
    <col min="6" max="6" width="12.6328125" style="25" customWidth="1"/>
    <col min="7" max="7" width="12.6328125" style="45" customWidth="1"/>
    <col min="8" max="8" width="9.08984375" style="25"/>
    <col min="9" max="10" width="9.08984375" style="38" hidden="1" customWidth="1"/>
    <col min="11" max="11" width="9.08984375" style="73" hidden="1" customWidth="1"/>
    <col min="12" max="16384" width="9.08984375" style="25"/>
  </cols>
  <sheetData>
    <row r="1" spans="1:11" ht="15.75" customHeight="1" x14ac:dyDescent="0.35">
      <c r="A1" s="119" t="s">
        <v>48</v>
      </c>
      <c r="B1" s="119"/>
      <c r="C1" s="119"/>
      <c r="D1" s="119"/>
      <c r="E1" s="119"/>
      <c r="F1" s="119"/>
      <c r="G1" s="119"/>
      <c r="H1" s="28"/>
      <c r="I1" s="27" t="s">
        <v>44</v>
      </c>
      <c r="J1" s="27" t="s">
        <v>43</v>
      </c>
      <c r="K1" s="72" t="s">
        <v>120</v>
      </c>
    </row>
    <row r="2" spans="1:11" x14ac:dyDescent="0.35">
      <c r="A2" s="98"/>
      <c r="B2" s="98"/>
      <c r="C2" s="98"/>
      <c r="D2" s="98"/>
    </row>
    <row r="3" spans="1:11" ht="30.15" customHeight="1" x14ac:dyDescent="0.35">
      <c r="A3" s="126" t="s">
        <v>116</v>
      </c>
      <c r="B3" s="126"/>
      <c r="C3" s="126"/>
      <c r="D3" s="126"/>
      <c r="E3" s="46" t="s">
        <v>1</v>
      </c>
      <c r="F3" s="29" t="s">
        <v>36</v>
      </c>
      <c r="G3" s="46" t="s">
        <v>55</v>
      </c>
      <c r="I3" s="1">
        <f t="shared" ref="I3" si="0">IF(ISNUMBER(E3),1,0)</f>
        <v>0</v>
      </c>
      <c r="J3" s="1" t="str">
        <f>IF(I3=0,"",SUM($I$3:$I3))</f>
        <v/>
      </c>
      <c r="K3" s="74"/>
    </row>
    <row r="4" spans="1:11" x14ac:dyDescent="0.35">
      <c r="A4" s="127" t="s">
        <v>51</v>
      </c>
      <c r="B4" s="127"/>
      <c r="C4" s="127"/>
      <c r="D4" s="127"/>
      <c r="E4" s="64"/>
      <c r="F4" s="60">
        <v>4</v>
      </c>
      <c r="G4" s="67">
        <f>F4*E4</f>
        <v>0</v>
      </c>
      <c r="I4" s="1">
        <f>IF(ISNUMBER(E4),1,0)</f>
        <v>0</v>
      </c>
      <c r="J4" s="1" t="str">
        <f>IF(I4=0,"",SUM($I$3:$I4))</f>
        <v/>
      </c>
      <c r="K4" s="74" t="str">
        <f>A3</f>
        <v>Airport, bus terminal, train station, port or dock facility, restroom waste only</v>
      </c>
    </row>
    <row r="5" spans="1:11" x14ac:dyDescent="0.35">
      <c r="A5" s="116" t="s">
        <v>52</v>
      </c>
      <c r="B5" s="116"/>
      <c r="C5" s="116"/>
      <c r="D5" s="116"/>
      <c r="E5" s="65"/>
      <c r="F5" s="15">
        <v>15</v>
      </c>
      <c r="G5" s="68">
        <f>F5*E5</f>
        <v>0</v>
      </c>
      <c r="I5" s="1">
        <f t="shared" ref="I5:I68" si="1">IF(ISNUMBER(E5),1,0)</f>
        <v>0</v>
      </c>
      <c r="J5" s="1" t="str">
        <f>IF(I5=0,"",SUM($I$3:$I5))</f>
        <v/>
      </c>
      <c r="K5" s="74" t="str">
        <f>K4</f>
        <v>Airport, bus terminal, train station, port or dock facility, restroom waste only</v>
      </c>
    </row>
    <row r="6" spans="1:11" x14ac:dyDescent="0.35">
      <c r="A6" s="57"/>
      <c r="B6" s="57"/>
      <c r="C6" s="57"/>
      <c r="D6" s="58"/>
      <c r="E6" s="93" t="s">
        <v>119</v>
      </c>
      <c r="F6" s="94"/>
      <c r="G6" s="69">
        <f>SUM(G4:G5)</f>
        <v>0</v>
      </c>
      <c r="I6" s="1">
        <f t="shared" si="1"/>
        <v>0</v>
      </c>
      <c r="J6" s="1" t="str">
        <f>IF(I6=0,"",SUM($I$3:$I6))</f>
        <v/>
      </c>
      <c r="K6" s="74"/>
    </row>
    <row r="7" spans="1:11" x14ac:dyDescent="0.35">
      <c r="A7" s="128"/>
      <c r="B7" s="128"/>
      <c r="C7" s="128"/>
      <c r="D7" s="128"/>
      <c r="E7" s="47"/>
      <c r="F7" s="2"/>
      <c r="G7" s="47"/>
      <c r="I7" s="1">
        <f t="shared" si="1"/>
        <v>0</v>
      </c>
      <c r="J7" s="1" t="str">
        <f>IF(I7=0,"",SUM($I$3:$I7))</f>
        <v/>
      </c>
      <c r="K7" s="74"/>
    </row>
    <row r="8" spans="1:11" ht="15" customHeight="1" x14ac:dyDescent="0.35">
      <c r="A8" s="126" t="s">
        <v>53</v>
      </c>
      <c r="B8" s="126"/>
      <c r="C8" s="126"/>
      <c r="D8" s="126"/>
      <c r="E8" s="46" t="s">
        <v>1</v>
      </c>
      <c r="F8" s="29" t="s">
        <v>36</v>
      </c>
      <c r="G8" s="46" t="s">
        <v>55</v>
      </c>
      <c r="I8" s="1">
        <f t="shared" si="1"/>
        <v>0</v>
      </c>
      <c r="J8" s="1" t="str">
        <f>IF(I8=0,"",SUM($I$3:$I8))</f>
        <v/>
      </c>
      <c r="K8" s="74"/>
    </row>
    <row r="9" spans="1:11" ht="15" customHeight="1" x14ac:dyDescent="0.35">
      <c r="A9" s="129" t="s">
        <v>54</v>
      </c>
      <c r="B9" s="129"/>
      <c r="C9" s="129"/>
      <c r="D9" s="129"/>
      <c r="E9" s="59"/>
      <c r="F9" s="14">
        <v>75</v>
      </c>
      <c r="G9" s="50">
        <f t="shared" ref="G9:G19" si="2">F9*E9</f>
        <v>0</v>
      </c>
      <c r="I9" s="1">
        <f t="shared" si="1"/>
        <v>0</v>
      </c>
      <c r="J9" s="1" t="str">
        <f>IF(I9=0,"",SUM($I$3:$I9))</f>
        <v/>
      </c>
      <c r="K9" s="74" t="str">
        <f>A8</f>
        <v>Barber &amp; beauty shop</v>
      </c>
    </row>
    <row r="10" spans="1:11" x14ac:dyDescent="0.35">
      <c r="A10" s="57"/>
      <c r="B10" s="57"/>
      <c r="C10" s="57"/>
      <c r="D10" s="58"/>
      <c r="E10" s="93" t="s">
        <v>119</v>
      </c>
      <c r="F10" s="94"/>
      <c r="G10" s="69">
        <f>G9</f>
        <v>0</v>
      </c>
      <c r="I10" s="1">
        <f t="shared" si="1"/>
        <v>0</v>
      </c>
      <c r="J10" s="1" t="str">
        <f>IF(I10=0,"",SUM($I$3:$I10))</f>
        <v/>
      </c>
      <c r="K10" s="74"/>
    </row>
    <row r="11" spans="1:11" x14ac:dyDescent="0.35">
      <c r="A11" s="130"/>
      <c r="B11" s="130"/>
      <c r="C11" s="130"/>
      <c r="D11" s="130"/>
      <c r="E11" s="48"/>
      <c r="F11" s="1"/>
      <c r="G11" s="48"/>
      <c r="I11" s="1">
        <f t="shared" si="1"/>
        <v>0</v>
      </c>
      <c r="J11" s="1" t="str">
        <f>IF(I11=0,"",SUM($I$3:$I11))</f>
        <v/>
      </c>
      <c r="K11" s="74"/>
    </row>
    <row r="12" spans="1:11" ht="15" customHeight="1" x14ac:dyDescent="0.35">
      <c r="A12" s="126" t="s">
        <v>56</v>
      </c>
      <c r="B12" s="126"/>
      <c r="C12" s="126"/>
      <c r="D12" s="126"/>
      <c r="E12" s="46" t="s">
        <v>1</v>
      </c>
      <c r="F12" s="29" t="s">
        <v>36</v>
      </c>
      <c r="G12" s="46" t="s">
        <v>55</v>
      </c>
      <c r="I12" s="1">
        <f t="shared" si="1"/>
        <v>0</v>
      </c>
      <c r="J12" s="1" t="str">
        <f>IF(I12=0,"",SUM($I$3:$I12))</f>
        <v/>
      </c>
      <c r="K12" s="74"/>
    </row>
    <row r="13" spans="1:11" ht="15" customHeight="1" x14ac:dyDescent="0.35">
      <c r="A13" s="129" t="s">
        <v>57</v>
      </c>
      <c r="B13" s="129"/>
      <c r="C13" s="129"/>
      <c r="D13" s="129"/>
      <c r="E13" s="59"/>
      <c r="F13" s="14">
        <v>50</v>
      </c>
      <c r="G13" s="50">
        <f t="shared" si="2"/>
        <v>0</v>
      </c>
      <c r="I13" s="1">
        <f t="shared" si="1"/>
        <v>0</v>
      </c>
      <c r="J13" s="1" t="str">
        <f>IF(I13=0,"",SUM($I$3:$I13))</f>
        <v/>
      </c>
      <c r="K13" s="74" t="str">
        <f>A12</f>
        <v>Bowling alley, restroom waste only</v>
      </c>
    </row>
    <row r="14" spans="1:11" x14ac:dyDescent="0.35">
      <c r="A14" s="57"/>
      <c r="B14" s="57"/>
      <c r="C14" s="57"/>
      <c r="D14" s="58"/>
      <c r="E14" s="93" t="s">
        <v>119</v>
      </c>
      <c r="F14" s="94"/>
      <c r="G14" s="69">
        <f>SUM(G13)</f>
        <v>0</v>
      </c>
      <c r="I14" s="1">
        <f t="shared" si="1"/>
        <v>0</v>
      </c>
      <c r="J14" s="1" t="str">
        <f>IF(I14=0,"",SUM($I$3:$I14))</f>
        <v/>
      </c>
      <c r="K14" s="74"/>
    </row>
    <row r="15" spans="1:11" x14ac:dyDescent="0.35">
      <c r="A15" s="130"/>
      <c r="B15" s="130"/>
      <c r="C15" s="130"/>
      <c r="D15" s="130"/>
      <c r="E15" s="48"/>
      <c r="F15" s="1"/>
      <c r="G15" s="48"/>
      <c r="I15" s="1">
        <f t="shared" si="1"/>
        <v>0</v>
      </c>
      <c r="J15" s="1" t="str">
        <f>IF(I15=0,"",SUM($I$3:$I15))</f>
        <v/>
      </c>
      <c r="K15" s="74"/>
    </row>
    <row r="16" spans="1:11" ht="15" customHeight="1" x14ac:dyDescent="0.35">
      <c r="A16" s="126" t="s">
        <v>86</v>
      </c>
      <c r="B16" s="126"/>
      <c r="C16" s="126"/>
      <c r="D16" s="126"/>
      <c r="E16" s="46" t="s">
        <v>1</v>
      </c>
      <c r="F16" s="29" t="s">
        <v>36</v>
      </c>
      <c r="G16" s="46" t="s">
        <v>55</v>
      </c>
      <c r="I16" s="1">
        <f t="shared" si="1"/>
        <v>0</v>
      </c>
      <c r="J16" s="1" t="str">
        <f>IF(I16=0,"",SUM($I$3:$I16))</f>
        <v/>
      </c>
      <c r="K16" s="74"/>
    </row>
    <row r="17" spans="1:11" ht="15" customHeight="1" x14ac:dyDescent="0.35">
      <c r="A17" s="127" t="s">
        <v>58</v>
      </c>
      <c r="B17" s="127"/>
      <c r="C17" s="127"/>
      <c r="D17" s="127"/>
      <c r="E17" s="64"/>
      <c r="F17" s="60">
        <v>100</v>
      </c>
      <c r="G17" s="61">
        <f t="shared" si="2"/>
        <v>0</v>
      </c>
      <c r="I17" s="1">
        <f t="shared" si="1"/>
        <v>0</v>
      </c>
      <c r="J17" s="1" t="str">
        <f>IF(I17=0,"",SUM($I$3:$I17))</f>
        <v/>
      </c>
      <c r="K17" s="74" t="str">
        <f>A16</f>
        <v>Country club</v>
      </c>
    </row>
    <row r="18" spans="1:11" ht="15" customHeight="1" x14ac:dyDescent="0.35">
      <c r="A18" s="131" t="s">
        <v>66</v>
      </c>
      <c r="B18" s="131"/>
      <c r="C18" s="131"/>
      <c r="D18" s="131"/>
      <c r="E18" s="66"/>
      <c r="F18" s="62">
        <v>25</v>
      </c>
      <c r="G18" s="63">
        <f t="shared" si="2"/>
        <v>0</v>
      </c>
      <c r="I18" s="1">
        <f t="shared" si="1"/>
        <v>0</v>
      </c>
      <c r="J18" s="1" t="str">
        <f>IF(I18=0,"",SUM($I$3:$I18))</f>
        <v/>
      </c>
      <c r="K18" s="74" t="str">
        <f>K17</f>
        <v>Country club</v>
      </c>
    </row>
    <row r="19" spans="1:11" ht="15" customHeight="1" x14ac:dyDescent="0.35">
      <c r="A19" s="116" t="s">
        <v>52</v>
      </c>
      <c r="B19" s="116"/>
      <c r="C19" s="116"/>
      <c r="D19" s="116"/>
      <c r="E19" s="65"/>
      <c r="F19" s="15">
        <v>15</v>
      </c>
      <c r="G19" s="51">
        <f t="shared" si="2"/>
        <v>0</v>
      </c>
      <c r="I19" s="1">
        <f t="shared" si="1"/>
        <v>0</v>
      </c>
      <c r="J19" s="1" t="str">
        <f>IF(I19=0,"",SUM($I$3:$I19))</f>
        <v/>
      </c>
      <c r="K19" s="74" t="str">
        <f>K18</f>
        <v>Country club</v>
      </c>
    </row>
    <row r="20" spans="1:11" x14ac:dyDescent="0.35">
      <c r="A20" s="57"/>
      <c r="B20" s="57"/>
      <c r="C20" s="57"/>
      <c r="D20" s="58"/>
      <c r="E20" s="93" t="s">
        <v>119</v>
      </c>
      <c r="F20" s="94"/>
      <c r="G20" s="69">
        <f>SUM(G17:G19)</f>
        <v>0</v>
      </c>
      <c r="I20" s="1">
        <f t="shared" si="1"/>
        <v>0</v>
      </c>
      <c r="J20" s="1" t="str">
        <f>IF(I20=0,"",SUM($I$3:$I20))</f>
        <v/>
      </c>
      <c r="K20" s="74"/>
    </row>
    <row r="21" spans="1:11" x14ac:dyDescent="0.35">
      <c r="A21" s="98"/>
      <c r="B21" s="98"/>
      <c r="C21" s="98"/>
      <c r="D21" s="98"/>
      <c r="I21" s="1">
        <f t="shared" si="1"/>
        <v>0</v>
      </c>
      <c r="J21" s="1" t="str">
        <f>IF(I21=0,"",SUM($I$3:$I21))</f>
        <v/>
      </c>
      <c r="K21" s="74"/>
    </row>
    <row r="22" spans="1:11" ht="15" customHeight="1" x14ac:dyDescent="0.35">
      <c r="A22" s="126" t="s">
        <v>108</v>
      </c>
      <c r="B22" s="126"/>
      <c r="C22" s="126"/>
      <c r="D22" s="126"/>
      <c r="E22" s="46" t="s">
        <v>1</v>
      </c>
      <c r="F22" s="29" t="s">
        <v>36</v>
      </c>
      <c r="G22" s="46" t="s">
        <v>55</v>
      </c>
      <c r="I22" s="1">
        <f t="shared" si="1"/>
        <v>0</v>
      </c>
      <c r="J22" s="1" t="str">
        <f>IF(I22=0,"",SUM($I$3:$I22))</f>
        <v/>
      </c>
      <c r="K22" s="74"/>
    </row>
    <row r="23" spans="1:11" ht="15" customHeight="1" x14ac:dyDescent="0.35">
      <c r="A23" s="102" t="s">
        <v>59</v>
      </c>
      <c r="B23" s="102"/>
      <c r="C23" s="102"/>
      <c r="D23" s="102"/>
      <c r="E23" s="64"/>
      <c r="F23" s="60">
        <v>250</v>
      </c>
      <c r="G23" s="61">
        <f t="shared" ref="G23:G24" si="3">F23*E23</f>
        <v>0</v>
      </c>
      <c r="I23" s="1">
        <f t="shared" si="1"/>
        <v>0</v>
      </c>
      <c r="J23" s="1" t="str">
        <f>IF(I23=0,"",SUM($I$3:$I23))</f>
        <v/>
      </c>
      <c r="K23" s="74" t="str">
        <f>A22</f>
        <v>Doctor and dentist office</v>
      </c>
    </row>
    <row r="24" spans="1:11" ht="15" customHeight="1" x14ac:dyDescent="0.35">
      <c r="A24" s="116" t="s">
        <v>52</v>
      </c>
      <c r="B24" s="116"/>
      <c r="C24" s="116"/>
      <c r="D24" s="116"/>
      <c r="E24" s="65"/>
      <c r="F24" s="15">
        <v>15</v>
      </c>
      <c r="G24" s="51">
        <f t="shared" si="3"/>
        <v>0</v>
      </c>
      <c r="I24" s="1">
        <f t="shared" si="1"/>
        <v>0</v>
      </c>
      <c r="J24" s="1" t="str">
        <f>IF(I24=0,"",SUM($I$3:$I24))</f>
        <v/>
      </c>
      <c r="K24" s="74" t="str">
        <f>K23</f>
        <v>Doctor and dentist office</v>
      </c>
    </row>
    <row r="25" spans="1:11" x14ac:dyDescent="0.35">
      <c r="A25" s="56"/>
      <c r="B25" s="56"/>
      <c r="C25" s="56"/>
      <c r="D25" s="56"/>
      <c r="E25" s="93" t="s">
        <v>119</v>
      </c>
      <c r="F25" s="94"/>
      <c r="G25" s="69">
        <f>SUM(G23:G24)</f>
        <v>0</v>
      </c>
      <c r="I25" s="1">
        <f t="shared" si="1"/>
        <v>0</v>
      </c>
      <c r="J25" s="1" t="str">
        <f>IF(I25=0,"",SUM($I$3:$I25))</f>
        <v/>
      </c>
      <c r="K25" s="74"/>
    </row>
    <row r="26" spans="1:11" x14ac:dyDescent="0.35">
      <c r="A26" s="91"/>
      <c r="B26" s="91"/>
      <c r="C26" s="91"/>
      <c r="D26" s="91"/>
      <c r="I26" s="1">
        <f t="shared" si="1"/>
        <v>0</v>
      </c>
      <c r="J26" s="1" t="str">
        <f>IF(I26=0,"",SUM($I$3:$I26))</f>
        <v/>
      </c>
      <c r="K26" s="74"/>
    </row>
    <row r="27" spans="1:11" ht="15" customHeight="1" x14ac:dyDescent="0.35">
      <c r="A27" s="126" t="s">
        <v>107</v>
      </c>
      <c r="B27" s="126"/>
      <c r="C27" s="126"/>
      <c r="D27" s="126"/>
      <c r="E27" s="46" t="s">
        <v>1</v>
      </c>
      <c r="F27" s="29" t="s">
        <v>36</v>
      </c>
      <c r="G27" s="46" t="s">
        <v>55</v>
      </c>
      <c r="I27" s="1">
        <f t="shared" si="1"/>
        <v>0</v>
      </c>
      <c r="J27" s="1" t="str">
        <f>IF(I27=0,"",SUM($I$3:$I27))</f>
        <v/>
      </c>
      <c r="K27" s="74"/>
    </row>
    <row r="28" spans="1:11" ht="15" customHeight="1" x14ac:dyDescent="0.35">
      <c r="A28" s="129" t="s">
        <v>52</v>
      </c>
      <c r="B28" s="129"/>
      <c r="C28" s="129"/>
      <c r="D28" s="129"/>
      <c r="E28" s="59"/>
      <c r="F28" s="14">
        <f>IF(D29="Yes",25,15)</f>
        <v>15</v>
      </c>
      <c r="G28" s="50">
        <f t="shared" ref="G28" si="4">F28*E28</f>
        <v>0</v>
      </c>
      <c r="I28" s="1">
        <f t="shared" si="1"/>
        <v>0</v>
      </c>
      <c r="J28" s="1" t="str">
        <f>IF(I28=0,"",SUM($I$3:$I28))</f>
        <v/>
      </c>
      <c r="K28" s="74" t="str">
        <f>A27</f>
        <v>Factory, exclusive of industrial waste</v>
      </c>
    </row>
    <row r="29" spans="1:11" x14ac:dyDescent="0.35">
      <c r="A29" s="95" t="s">
        <v>65</v>
      </c>
      <c r="B29" s="96"/>
      <c r="C29" s="97"/>
      <c r="D29" s="75"/>
      <c r="E29" s="93" t="s">
        <v>119</v>
      </c>
      <c r="F29" s="94"/>
      <c r="G29" s="69">
        <f>SUM(G28:G28)</f>
        <v>0</v>
      </c>
      <c r="I29" s="1">
        <f t="shared" si="1"/>
        <v>0</v>
      </c>
      <c r="J29" s="1" t="str">
        <f>IF(I29=0,"",SUM($I$3:$I29))</f>
        <v/>
      </c>
      <c r="K29" s="74"/>
    </row>
    <row r="30" spans="1:11" x14ac:dyDescent="0.35">
      <c r="A30" s="98"/>
      <c r="B30" s="98"/>
      <c r="C30" s="98"/>
      <c r="D30" s="98"/>
      <c r="I30" s="1">
        <f t="shared" si="1"/>
        <v>0</v>
      </c>
      <c r="J30" s="1" t="str">
        <f>IF(I30=0,"",SUM($I$3:$I30))</f>
        <v/>
      </c>
      <c r="K30" s="74"/>
    </row>
    <row r="31" spans="1:11" ht="15" customHeight="1" x14ac:dyDescent="0.35">
      <c r="A31" s="99" t="s">
        <v>62</v>
      </c>
      <c r="B31" s="100"/>
      <c r="C31" s="100"/>
      <c r="D31" s="101"/>
      <c r="E31" s="46" t="s">
        <v>1</v>
      </c>
      <c r="F31" s="29" t="s">
        <v>36</v>
      </c>
      <c r="G31" s="46" t="s">
        <v>55</v>
      </c>
      <c r="I31" s="1">
        <f t="shared" si="1"/>
        <v>0</v>
      </c>
      <c r="J31" s="1" t="str">
        <f>IF(I31=0,"",SUM($I$3:$I31))</f>
        <v/>
      </c>
      <c r="K31" s="74"/>
    </row>
    <row r="32" spans="1:11" ht="15" customHeight="1" x14ac:dyDescent="0.35">
      <c r="A32" s="114" t="s">
        <v>60</v>
      </c>
      <c r="B32" s="114"/>
      <c r="C32" s="114"/>
      <c r="D32" s="114"/>
      <c r="E32" s="59"/>
      <c r="F32" s="14">
        <f>IF(D35&gt;3,2*15,15)</f>
        <v>15</v>
      </c>
      <c r="G32" s="50">
        <f t="shared" ref="G32:G33" si="5">F32*E32</f>
        <v>0</v>
      </c>
      <c r="I32" s="1">
        <f t="shared" si="1"/>
        <v>0</v>
      </c>
      <c r="J32" s="1" t="str">
        <f>IF(I32=0,"",SUM($I$3:$I32))</f>
        <v/>
      </c>
      <c r="K32" s="74" t="str">
        <f>A31</f>
        <v>Flea market</v>
      </c>
    </row>
    <row r="33" spans="1:11" ht="30.15" customHeight="1" x14ac:dyDescent="0.35">
      <c r="A33" s="114" t="s">
        <v>64</v>
      </c>
      <c r="B33" s="114"/>
      <c r="C33" s="114"/>
      <c r="D33" s="114"/>
      <c r="E33" s="59"/>
      <c r="F33" s="14">
        <f>IF(D35&gt;3,2*0.5,0.5)</f>
        <v>0.5</v>
      </c>
      <c r="G33" s="50">
        <f t="shared" si="5"/>
        <v>0</v>
      </c>
      <c r="I33" s="1">
        <f t="shared" si="1"/>
        <v>0</v>
      </c>
      <c r="J33" s="1" t="str">
        <f>IF(I33=0,"",SUM($I$3:$I33))</f>
        <v/>
      </c>
      <c r="K33" s="74" t="str">
        <f>K32</f>
        <v>Flea market</v>
      </c>
    </row>
    <row r="34" spans="1:11" ht="15" customHeight="1" x14ac:dyDescent="0.35">
      <c r="A34" s="114" t="s">
        <v>61</v>
      </c>
      <c r="B34" s="114"/>
      <c r="C34" s="114"/>
      <c r="D34" s="114"/>
      <c r="E34" s="59"/>
      <c r="F34" s="14">
        <f>IF(D35&gt;3,2*25,25)</f>
        <v>25</v>
      </c>
      <c r="G34" s="50">
        <f t="shared" ref="G34" si="6">F34*E34</f>
        <v>0</v>
      </c>
      <c r="I34" s="1">
        <f t="shared" si="1"/>
        <v>0</v>
      </c>
      <c r="J34" s="1" t="str">
        <f>IF(I34=0,"",SUM($I$3:$I34))</f>
        <v/>
      </c>
      <c r="K34" s="74" t="str">
        <f>K33</f>
        <v>Flea market</v>
      </c>
    </row>
    <row r="35" spans="1:11" x14ac:dyDescent="0.35">
      <c r="A35" s="95" t="s">
        <v>63</v>
      </c>
      <c r="B35" s="96"/>
      <c r="C35" s="97"/>
      <c r="D35" s="75"/>
      <c r="E35" s="93" t="s">
        <v>119</v>
      </c>
      <c r="F35" s="94"/>
      <c r="G35" s="69">
        <f>SUM(G32:G34)</f>
        <v>0</v>
      </c>
      <c r="I35" s="1">
        <f t="shared" si="1"/>
        <v>0</v>
      </c>
      <c r="J35" s="1" t="str">
        <f>IF(I35=0,"",SUM($I$3:$I35))</f>
        <v/>
      </c>
      <c r="K35" s="74"/>
    </row>
    <row r="36" spans="1:11" x14ac:dyDescent="0.35">
      <c r="A36" s="91"/>
      <c r="B36" s="91"/>
      <c r="C36" s="91"/>
      <c r="D36" s="91"/>
      <c r="I36" s="1">
        <f t="shared" si="1"/>
        <v>0</v>
      </c>
      <c r="J36" s="1" t="str">
        <f>IF(I36=0,"",SUM($I$3:$I36))</f>
        <v/>
      </c>
      <c r="K36" s="74"/>
    </row>
    <row r="37" spans="1:11" x14ac:dyDescent="0.35">
      <c r="A37" s="99" t="s">
        <v>87</v>
      </c>
      <c r="B37" s="100"/>
      <c r="C37" s="100"/>
      <c r="D37" s="101"/>
      <c r="E37" s="46" t="s">
        <v>1</v>
      </c>
      <c r="F37" s="29" t="s">
        <v>36</v>
      </c>
      <c r="G37" s="46" t="s">
        <v>55</v>
      </c>
      <c r="I37" s="1">
        <f t="shared" si="1"/>
        <v>0</v>
      </c>
      <c r="J37" s="1" t="str">
        <f>IF(I37=0,"",SUM($I$3:$I37))</f>
        <v/>
      </c>
      <c r="K37" s="74"/>
    </row>
    <row r="38" spans="1:11" ht="15" customHeight="1" x14ac:dyDescent="0.35">
      <c r="A38" s="114" t="s">
        <v>94</v>
      </c>
      <c r="B38" s="114"/>
      <c r="C38" s="114"/>
      <c r="D38" s="114"/>
      <c r="E38" s="59"/>
      <c r="F38" s="14">
        <v>40</v>
      </c>
      <c r="G38" s="50">
        <f t="shared" ref="G38" si="7">F38*E38</f>
        <v>0</v>
      </c>
      <c r="I38" s="1">
        <f t="shared" si="1"/>
        <v>0</v>
      </c>
      <c r="J38" s="1" t="str">
        <f>IF(I38=0,"",SUM($I$3:$I38))</f>
        <v/>
      </c>
      <c r="K38" s="74" t="str">
        <f>A37</f>
        <v>Food operations</v>
      </c>
    </row>
    <row r="39" spans="1:11" ht="15" customHeight="1" x14ac:dyDescent="0.35">
      <c r="A39" s="114" t="s">
        <v>95</v>
      </c>
      <c r="B39" s="114"/>
      <c r="C39" s="114"/>
      <c r="D39" s="114"/>
      <c r="E39" s="59"/>
      <c r="F39" s="14">
        <v>60</v>
      </c>
      <c r="G39" s="50">
        <f t="shared" ref="G39" si="8">F39*E39</f>
        <v>0</v>
      </c>
      <c r="I39" s="1">
        <f t="shared" si="1"/>
        <v>0</v>
      </c>
      <c r="J39" s="1" t="str">
        <f>IF(I39=0,"",SUM($I$3:$I39))</f>
        <v/>
      </c>
      <c r="K39" s="74" t="str">
        <f>K38</f>
        <v>Food operations</v>
      </c>
    </row>
    <row r="40" spans="1:11" ht="30.15" customHeight="1" x14ac:dyDescent="0.35">
      <c r="A40" s="114" t="s">
        <v>96</v>
      </c>
      <c r="B40" s="114"/>
      <c r="C40" s="114"/>
      <c r="D40" s="114"/>
      <c r="E40" s="59"/>
      <c r="F40" s="14">
        <v>20</v>
      </c>
      <c r="G40" s="50">
        <f t="shared" ref="G40" si="9">F40*E40</f>
        <v>0</v>
      </c>
      <c r="I40" s="1">
        <f t="shared" si="1"/>
        <v>0</v>
      </c>
      <c r="J40" s="1" t="str">
        <f>IF(I40=0,"",SUM($I$3:$I40))</f>
        <v/>
      </c>
      <c r="K40" s="74" t="str">
        <f t="shared" ref="K40:K52" si="10">K39</f>
        <v>Food operations</v>
      </c>
    </row>
    <row r="41" spans="1:11" ht="30.15" customHeight="1" x14ac:dyDescent="0.35">
      <c r="A41" s="114" t="s">
        <v>97</v>
      </c>
      <c r="B41" s="114"/>
      <c r="C41" s="114"/>
      <c r="D41" s="114"/>
      <c r="E41" s="59"/>
      <c r="F41" s="14">
        <v>35</v>
      </c>
      <c r="G41" s="50">
        <f t="shared" ref="G41" si="11">F41*E41</f>
        <v>0</v>
      </c>
      <c r="I41" s="1">
        <f t="shared" si="1"/>
        <v>0</v>
      </c>
      <c r="J41" s="1" t="str">
        <f>IF(I41=0,"",SUM($I$3:$I41))</f>
        <v/>
      </c>
      <c r="K41" s="74" t="str">
        <f t="shared" si="10"/>
        <v>Food operations</v>
      </c>
    </row>
    <row r="42" spans="1:11" ht="15" customHeight="1" x14ac:dyDescent="0.35">
      <c r="A42" s="102" t="s">
        <v>69</v>
      </c>
      <c r="B42" s="102"/>
      <c r="C42" s="102"/>
      <c r="D42" s="102"/>
      <c r="E42" s="64"/>
      <c r="F42" s="60">
        <v>20</v>
      </c>
      <c r="G42" s="61">
        <f t="shared" ref="G42" si="12">F42*E42</f>
        <v>0</v>
      </c>
      <c r="I42" s="1">
        <f t="shared" si="1"/>
        <v>0</v>
      </c>
      <c r="J42" s="1" t="str">
        <f>IF(I42=0,"",SUM($I$3:$I42))</f>
        <v/>
      </c>
      <c r="K42" s="74" t="str">
        <f t="shared" si="10"/>
        <v>Food operations</v>
      </c>
    </row>
    <row r="43" spans="1:11" ht="15" customHeight="1" x14ac:dyDescent="0.35">
      <c r="A43" s="106" t="s">
        <v>73</v>
      </c>
      <c r="B43" s="106"/>
      <c r="C43" s="106"/>
      <c r="D43" s="106"/>
      <c r="E43" s="65"/>
      <c r="F43" s="15">
        <v>15</v>
      </c>
      <c r="G43" s="51">
        <f t="shared" ref="G43" si="13">F43*E43</f>
        <v>0</v>
      </c>
      <c r="I43" s="1">
        <f t="shared" si="1"/>
        <v>0</v>
      </c>
      <c r="J43" s="1" t="str">
        <f>IF(I43=0,"",SUM($I$3:$I43))</f>
        <v/>
      </c>
      <c r="K43" s="74" t="str">
        <f t="shared" si="10"/>
        <v>Food operations</v>
      </c>
    </row>
    <row r="44" spans="1:11" ht="15" customHeight="1" x14ac:dyDescent="0.35">
      <c r="A44" s="114" t="s">
        <v>70</v>
      </c>
      <c r="B44" s="114"/>
      <c r="C44" s="114"/>
      <c r="D44" s="114"/>
      <c r="E44" s="59"/>
      <c r="F44" s="14">
        <v>50</v>
      </c>
      <c r="G44" s="50">
        <f t="shared" ref="G44:G46" si="14">F44*E44</f>
        <v>0</v>
      </c>
      <c r="I44" s="1">
        <f t="shared" si="1"/>
        <v>0</v>
      </c>
      <c r="J44" s="1" t="str">
        <f>IF(I44=0,"",SUM($I$3:$I44))</f>
        <v/>
      </c>
      <c r="K44" s="74" t="str">
        <f t="shared" si="10"/>
        <v>Food operations</v>
      </c>
    </row>
    <row r="45" spans="1:11" ht="30" customHeight="1" x14ac:dyDescent="0.35">
      <c r="A45" s="102" t="s">
        <v>71</v>
      </c>
      <c r="B45" s="102"/>
      <c r="C45" s="102"/>
      <c r="D45" s="102"/>
      <c r="E45" s="64"/>
      <c r="F45" s="60">
        <v>0.5</v>
      </c>
      <c r="G45" s="61">
        <f t="shared" si="14"/>
        <v>0</v>
      </c>
      <c r="I45" s="1">
        <f t="shared" si="1"/>
        <v>0</v>
      </c>
      <c r="J45" s="1" t="str">
        <f>IF(I45=0,"",SUM($I$3:$I45))</f>
        <v/>
      </c>
      <c r="K45" s="74" t="str">
        <f t="shared" si="10"/>
        <v>Food operations</v>
      </c>
    </row>
    <row r="46" spans="1:11" ht="15" customHeight="1" x14ac:dyDescent="0.35">
      <c r="A46" s="116" t="s">
        <v>74</v>
      </c>
      <c r="B46" s="116"/>
      <c r="C46" s="116"/>
      <c r="D46" s="116"/>
      <c r="E46" s="65"/>
      <c r="F46" s="15">
        <v>15</v>
      </c>
      <c r="G46" s="51">
        <f t="shared" si="14"/>
        <v>0</v>
      </c>
      <c r="I46" s="1">
        <f t="shared" si="1"/>
        <v>0</v>
      </c>
      <c r="J46" s="1" t="str">
        <f>IF(I46=0,"",SUM($I$3:$I46))</f>
        <v/>
      </c>
      <c r="K46" s="74" t="str">
        <f t="shared" si="10"/>
        <v>Food operations</v>
      </c>
    </row>
    <row r="47" spans="1:11" ht="15" customHeight="1" x14ac:dyDescent="0.35">
      <c r="A47" s="114" t="s">
        <v>72</v>
      </c>
      <c r="B47" s="114"/>
      <c r="C47" s="114"/>
      <c r="D47" s="114"/>
      <c r="E47" s="59"/>
      <c r="F47" s="14">
        <v>5</v>
      </c>
      <c r="G47" s="50">
        <f t="shared" ref="G47" si="15">F47*E47</f>
        <v>0</v>
      </c>
      <c r="I47" s="1">
        <f t="shared" si="1"/>
        <v>0</v>
      </c>
      <c r="J47" s="1" t="str">
        <f>IF(I47=0,"",SUM($I$3:$I47))</f>
        <v/>
      </c>
      <c r="K47" s="74" t="str">
        <f t="shared" si="10"/>
        <v>Food operations</v>
      </c>
    </row>
    <row r="48" spans="1:11" ht="30" customHeight="1" x14ac:dyDescent="0.35">
      <c r="A48" s="117" t="s">
        <v>79</v>
      </c>
      <c r="B48" s="117"/>
      <c r="C48" s="117"/>
      <c r="D48" s="117"/>
      <c r="E48" s="64"/>
      <c r="F48" s="60">
        <v>0.1</v>
      </c>
      <c r="G48" s="61">
        <f t="shared" ref="G48" si="16">F48*E48</f>
        <v>0</v>
      </c>
      <c r="I48" s="1">
        <f t="shared" si="1"/>
        <v>0</v>
      </c>
      <c r="J48" s="1" t="str">
        <f>IF(I48=0,"",SUM($I$3:$I48))</f>
        <v/>
      </c>
      <c r="K48" s="74" t="str">
        <f t="shared" si="10"/>
        <v>Food operations</v>
      </c>
    </row>
    <row r="49" spans="1:11" ht="15" customHeight="1" x14ac:dyDescent="0.35">
      <c r="A49" s="118" t="s">
        <v>75</v>
      </c>
      <c r="B49" s="118"/>
      <c r="C49" s="118"/>
      <c r="D49" s="118"/>
      <c r="E49" s="66"/>
      <c r="F49" s="62">
        <v>0.4</v>
      </c>
      <c r="G49" s="63">
        <f t="shared" ref="G49" si="17">F49*E49</f>
        <v>0</v>
      </c>
      <c r="I49" s="1">
        <f t="shared" si="1"/>
        <v>0</v>
      </c>
      <c r="J49" s="1" t="str">
        <f>IF(I49=0,"",SUM($I$3:$I49))</f>
        <v/>
      </c>
      <c r="K49" s="74" t="str">
        <f t="shared" si="10"/>
        <v>Food operations</v>
      </c>
    </row>
    <row r="50" spans="1:11" ht="15" customHeight="1" x14ac:dyDescent="0.35">
      <c r="A50" s="118" t="s">
        <v>76</v>
      </c>
      <c r="B50" s="118"/>
      <c r="C50" s="118"/>
      <c r="D50" s="118"/>
      <c r="E50" s="66"/>
      <c r="F50" s="62">
        <v>0.4</v>
      </c>
      <c r="G50" s="63">
        <f t="shared" ref="G50:G51" si="18">F50*E50</f>
        <v>0</v>
      </c>
      <c r="I50" s="1">
        <f t="shared" si="1"/>
        <v>0</v>
      </c>
      <c r="J50" s="1" t="str">
        <f>IF(I50=0,"",SUM($I$3:$I50))</f>
        <v/>
      </c>
      <c r="K50" s="74" t="str">
        <f t="shared" si="10"/>
        <v>Food operations</v>
      </c>
    </row>
    <row r="51" spans="1:11" ht="15" customHeight="1" x14ac:dyDescent="0.35">
      <c r="A51" s="118" t="s">
        <v>77</v>
      </c>
      <c r="B51" s="118"/>
      <c r="C51" s="118"/>
      <c r="D51" s="118"/>
      <c r="E51" s="66"/>
      <c r="F51" s="62">
        <v>0.75</v>
      </c>
      <c r="G51" s="63">
        <f t="shared" si="18"/>
        <v>0</v>
      </c>
      <c r="I51" s="1">
        <f t="shared" si="1"/>
        <v>0</v>
      </c>
      <c r="J51" s="1" t="str">
        <f>IF(I51=0,"",SUM($I$3:$I51))</f>
        <v/>
      </c>
      <c r="K51" s="74" t="str">
        <f t="shared" si="10"/>
        <v>Food operations</v>
      </c>
    </row>
    <row r="52" spans="1:11" ht="15" customHeight="1" x14ac:dyDescent="0.35">
      <c r="A52" s="106" t="s">
        <v>78</v>
      </c>
      <c r="B52" s="106"/>
      <c r="C52" s="106"/>
      <c r="D52" s="106"/>
      <c r="E52" s="65"/>
      <c r="F52" s="15">
        <v>200</v>
      </c>
      <c r="G52" s="51">
        <f t="shared" ref="G52" si="19">F52*E52</f>
        <v>0</v>
      </c>
      <c r="I52" s="1">
        <f t="shared" si="1"/>
        <v>0</v>
      </c>
      <c r="J52" s="1" t="str">
        <f>IF(I52=0,"",SUM($I$3:$I52))</f>
        <v/>
      </c>
      <c r="K52" s="74" t="str">
        <f t="shared" si="10"/>
        <v>Food operations</v>
      </c>
    </row>
    <row r="53" spans="1:11" x14ac:dyDescent="0.35">
      <c r="A53" s="56"/>
      <c r="B53" s="56"/>
      <c r="C53" s="56"/>
      <c r="D53" s="56"/>
      <c r="E53" s="93" t="s">
        <v>119</v>
      </c>
      <c r="F53" s="94"/>
      <c r="G53" s="69">
        <f>SUM(G38:G52)</f>
        <v>0</v>
      </c>
      <c r="I53" s="1">
        <f t="shared" si="1"/>
        <v>0</v>
      </c>
      <c r="J53" s="1" t="str">
        <f>IF(I53=0,"",SUM($I$3:$I53))</f>
        <v/>
      </c>
      <c r="K53" s="74"/>
    </row>
    <row r="54" spans="1:11" x14ac:dyDescent="0.35">
      <c r="A54" s="91"/>
      <c r="B54" s="91"/>
      <c r="C54" s="91"/>
      <c r="D54" s="91"/>
      <c r="I54" s="1">
        <f t="shared" si="1"/>
        <v>0</v>
      </c>
      <c r="J54" s="1" t="str">
        <f>IF(I54=0,"",SUM($I$3:$I54))</f>
        <v/>
      </c>
      <c r="K54" s="74"/>
    </row>
    <row r="55" spans="1:11" ht="15" customHeight="1" x14ac:dyDescent="0.35">
      <c r="A55" s="99" t="s">
        <v>109</v>
      </c>
      <c r="B55" s="100"/>
      <c r="C55" s="100"/>
      <c r="D55" s="101"/>
      <c r="E55" s="46" t="s">
        <v>1</v>
      </c>
      <c r="F55" s="29" t="s">
        <v>36</v>
      </c>
      <c r="G55" s="46" t="s">
        <v>55</v>
      </c>
      <c r="I55" s="1">
        <f t="shared" si="1"/>
        <v>0</v>
      </c>
      <c r="J55" s="1" t="str">
        <f>IF(I55=0,"",SUM($I$3:$I55))</f>
        <v/>
      </c>
      <c r="K55" s="74"/>
    </row>
    <row r="56" spans="1:11" ht="15" customHeight="1" x14ac:dyDescent="0.35">
      <c r="A56" s="114" t="s">
        <v>80</v>
      </c>
      <c r="B56" s="114"/>
      <c r="C56" s="114"/>
      <c r="D56" s="114"/>
      <c r="E56" s="59"/>
      <c r="F56" s="14">
        <v>100</v>
      </c>
      <c r="G56" s="50">
        <f t="shared" ref="G56" si="20">F56*E56</f>
        <v>0</v>
      </c>
      <c r="I56" s="1">
        <f t="shared" si="1"/>
        <v>0</v>
      </c>
      <c r="J56" s="1" t="str">
        <f>IF(I56=0,"",SUM($I$3:$I56))</f>
        <v/>
      </c>
      <c r="K56" s="74" t="str">
        <f>A55</f>
        <v>Hotel or motel</v>
      </c>
    </row>
    <row r="57" spans="1:11" ht="15" customHeight="1" x14ac:dyDescent="0.35">
      <c r="A57" s="114" t="s">
        <v>81</v>
      </c>
      <c r="B57" s="114"/>
      <c r="C57" s="114"/>
      <c r="D57" s="114"/>
      <c r="E57" s="59"/>
      <c r="F57" s="14">
        <v>200</v>
      </c>
      <c r="G57" s="50">
        <f t="shared" ref="G57:G58" si="21">F57*E57</f>
        <v>0</v>
      </c>
      <c r="I57" s="1">
        <f t="shared" si="1"/>
        <v>0</v>
      </c>
      <c r="J57" s="1" t="str">
        <f>IF(I57=0,"",SUM($I$3:$I57))</f>
        <v/>
      </c>
      <c r="K57" s="74" t="str">
        <f>K56</f>
        <v>Hotel or motel</v>
      </c>
    </row>
    <row r="58" spans="1:11" ht="30.15" customHeight="1" x14ac:dyDescent="0.35">
      <c r="A58" s="114" t="s">
        <v>82</v>
      </c>
      <c r="B58" s="114"/>
      <c r="C58" s="114"/>
      <c r="D58" s="114"/>
      <c r="E58" s="59"/>
      <c r="F58" s="14">
        <v>750</v>
      </c>
      <c r="G58" s="50">
        <f t="shared" si="21"/>
        <v>0</v>
      </c>
      <c r="I58" s="1">
        <f t="shared" si="1"/>
        <v>0</v>
      </c>
      <c r="J58" s="1" t="str">
        <f>IF(I58=0,"",SUM($I$3:$I58))</f>
        <v/>
      </c>
      <c r="K58" s="74" t="str">
        <f>K57</f>
        <v>Hotel or motel</v>
      </c>
    </row>
    <row r="59" spans="1:11" x14ac:dyDescent="0.35">
      <c r="A59" s="56"/>
      <c r="B59" s="56"/>
      <c r="C59" s="56"/>
      <c r="D59" s="56"/>
      <c r="E59" s="93" t="s">
        <v>119</v>
      </c>
      <c r="F59" s="94"/>
      <c r="G59" s="69">
        <f>SUM(G56:G58)</f>
        <v>0</v>
      </c>
      <c r="I59" s="1">
        <f t="shared" si="1"/>
        <v>0</v>
      </c>
      <c r="J59" s="1" t="str">
        <f>IF(I59=0,"",SUM($I$3:$I59))</f>
        <v/>
      </c>
      <c r="K59" s="74"/>
    </row>
    <row r="60" spans="1:11" x14ac:dyDescent="0.35">
      <c r="A60" s="91"/>
      <c r="B60" s="91"/>
      <c r="C60" s="91"/>
      <c r="D60" s="91"/>
      <c r="I60" s="1">
        <f t="shared" si="1"/>
        <v>0</v>
      </c>
      <c r="J60" s="1" t="str">
        <f>IF(I60=0,"",SUM($I$3:$I60))</f>
        <v/>
      </c>
      <c r="K60" s="74"/>
    </row>
    <row r="61" spans="1:11" ht="15" customHeight="1" x14ac:dyDescent="0.35">
      <c r="A61" s="99" t="s">
        <v>88</v>
      </c>
      <c r="B61" s="100"/>
      <c r="C61" s="100"/>
      <c r="D61" s="101"/>
      <c r="E61" s="46" t="s">
        <v>1</v>
      </c>
      <c r="F61" s="29" t="s">
        <v>36</v>
      </c>
      <c r="G61" s="46" t="s">
        <v>55</v>
      </c>
      <c r="I61" s="1">
        <f t="shared" si="1"/>
        <v>0</v>
      </c>
      <c r="J61" s="1" t="str">
        <f>IF(I61=0,"",SUM($I$3:$I61))</f>
        <v/>
      </c>
      <c r="K61" s="74"/>
    </row>
    <row r="62" spans="1:11" ht="15" customHeight="1" x14ac:dyDescent="0.35">
      <c r="A62" s="114" t="s">
        <v>83</v>
      </c>
      <c r="B62" s="114"/>
      <c r="C62" s="114"/>
      <c r="D62" s="114"/>
      <c r="E62" s="59"/>
      <c r="F62" s="14">
        <f>IF(E62&lt;4,250,225)</f>
        <v>250</v>
      </c>
      <c r="G62" s="50">
        <f t="shared" ref="G62" si="22">F62*E62</f>
        <v>0</v>
      </c>
      <c r="I62" s="1">
        <f t="shared" si="1"/>
        <v>0</v>
      </c>
      <c r="J62" s="1" t="str">
        <f>IF(I62=0,"",SUM($I$3:$I62))</f>
        <v/>
      </c>
      <c r="K62" s="74" t="str">
        <f>A61</f>
        <v>Mobile home park</v>
      </c>
    </row>
    <row r="63" spans="1:11" ht="15" customHeight="1" x14ac:dyDescent="0.35">
      <c r="A63" s="114" t="s">
        <v>84</v>
      </c>
      <c r="B63" s="114"/>
      <c r="C63" s="114"/>
      <c r="D63" s="114"/>
      <c r="E63" s="59"/>
      <c r="F63" s="14">
        <f>IF(E63&lt;4,300,275)</f>
        <v>300</v>
      </c>
      <c r="G63" s="50">
        <f t="shared" ref="G63" si="23">F63*E63</f>
        <v>0</v>
      </c>
      <c r="I63" s="1">
        <f t="shared" si="1"/>
        <v>0</v>
      </c>
      <c r="J63" s="1" t="str">
        <f>IF(I63=0,"",SUM($I$3:$I63))</f>
        <v/>
      </c>
      <c r="K63" s="74" t="str">
        <f>K62</f>
        <v>Mobile home park</v>
      </c>
    </row>
    <row r="64" spans="1:11" x14ac:dyDescent="0.35">
      <c r="A64" s="56"/>
      <c r="B64" s="56"/>
      <c r="C64" s="56"/>
      <c r="D64" s="56"/>
      <c r="E64" s="93" t="s">
        <v>119</v>
      </c>
      <c r="F64" s="94"/>
      <c r="G64" s="69">
        <f>SUM(G62:G63)</f>
        <v>0</v>
      </c>
      <c r="I64" s="1">
        <f t="shared" si="1"/>
        <v>0</v>
      </c>
      <c r="J64" s="1" t="str">
        <f>IF(I64=0,"",SUM($I$3:$I64))</f>
        <v/>
      </c>
      <c r="K64" s="74"/>
    </row>
    <row r="65" spans="1:11" x14ac:dyDescent="0.35">
      <c r="A65" s="91"/>
      <c r="B65" s="91"/>
      <c r="C65" s="91"/>
      <c r="D65" s="91"/>
      <c r="I65" s="1">
        <f t="shared" si="1"/>
        <v>0</v>
      </c>
      <c r="J65" s="1" t="str">
        <f>IF(I65=0,"",SUM($I$3:$I65))</f>
        <v/>
      </c>
      <c r="K65" s="74"/>
    </row>
    <row r="66" spans="1:11" ht="15" customHeight="1" x14ac:dyDescent="0.35">
      <c r="A66" s="99" t="s">
        <v>85</v>
      </c>
      <c r="B66" s="100"/>
      <c r="C66" s="100"/>
      <c r="D66" s="101"/>
      <c r="E66" s="46" t="s">
        <v>1</v>
      </c>
      <c r="F66" s="29" t="s">
        <v>36</v>
      </c>
      <c r="G66" s="46" t="s">
        <v>55</v>
      </c>
      <c r="I66" s="1">
        <f t="shared" si="1"/>
        <v>0</v>
      </c>
      <c r="J66" s="1" t="str">
        <f>IF(I66=0,"",SUM($I$3:$I66))</f>
        <v/>
      </c>
      <c r="K66" s="74"/>
    </row>
    <row r="67" spans="1:11" ht="15" customHeight="1" x14ac:dyDescent="0.35">
      <c r="A67" s="120" t="s">
        <v>89</v>
      </c>
      <c r="B67" s="121"/>
      <c r="C67" s="121"/>
      <c r="D67" s="122"/>
      <c r="E67" s="65"/>
      <c r="F67" s="15">
        <v>15</v>
      </c>
      <c r="G67" s="51">
        <f t="shared" ref="G67" si="24">F67*E67</f>
        <v>0</v>
      </c>
      <c r="I67" s="1">
        <f t="shared" si="1"/>
        <v>0</v>
      </c>
      <c r="J67" s="1" t="str">
        <f>IF(I67=0,"",SUM($I$3:$I67))</f>
        <v/>
      </c>
      <c r="K67" s="74" t="str">
        <f>A66</f>
        <v>Office building</v>
      </c>
    </row>
    <row r="68" spans="1:11" ht="15" customHeight="1" x14ac:dyDescent="0.35">
      <c r="A68" s="123" t="s">
        <v>90</v>
      </c>
      <c r="B68" s="124"/>
      <c r="C68" s="124"/>
      <c r="D68" s="125"/>
      <c r="E68" s="65"/>
      <c r="F68" s="15">
        <v>0.15</v>
      </c>
      <c r="G68" s="51">
        <f t="shared" ref="G68" si="25">F68*E68</f>
        <v>0</v>
      </c>
      <c r="I68" s="1">
        <f t="shared" si="1"/>
        <v>0</v>
      </c>
      <c r="J68" s="1" t="str">
        <f>IF(I68=0,"",SUM($I$3:$I68))</f>
        <v/>
      </c>
      <c r="K68" s="74" t="str">
        <f>K67</f>
        <v>Office building</v>
      </c>
    </row>
    <row r="69" spans="1:11" x14ac:dyDescent="0.35">
      <c r="A69" s="56"/>
      <c r="B69" s="56"/>
      <c r="C69" s="56"/>
      <c r="D69" s="56"/>
      <c r="E69" s="93" t="s">
        <v>91</v>
      </c>
      <c r="F69" s="94"/>
      <c r="G69" s="69">
        <f>MAX(G67:G68)</f>
        <v>0</v>
      </c>
      <c r="I69" s="1">
        <f t="shared" ref="I69:I117" si="26">IF(ISNUMBER(E69),1,0)</f>
        <v>0</v>
      </c>
      <c r="J69" s="1" t="str">
        <f>IF(I69=0,"",SUM($I$3:$I69))</f>
        <v/>
      </c>
      <c r="K69" s="74"/>
    </row>
    <row r="70" spans="1:11" x14ac:dyDescent="0.35">
      <c r="A70" s="91"/>
      <c r="B70" s="91"/>
      <c r="C70" s="91"/>
      <c r="D70" s="91"/>
      <c r="I70" s="1">
        <f t="shared" si="26"/>
        <v>0</v>
      </c>
      <c r="J70" s="1" t="str">
        <f>IF(I70=0,"",SUM($I$3:$I70))</f>
        <v/>
      </c>
      <c r="K70" s="74"/>
    </row>
    <row r="71" spans="1:11" ht="15" customHeight="1" x14ac:dyDescent="0.35">
      <c r="A71" s="99" t="s">
        <v>99</v>
      </c>
      <c r="B71" s="100"/>
      <c r="C71" s="100"/>
      <c r="D71" s="101"/>
      <c r="E71" s="46" t="s">
        <v>1</v>
      </c>
      <c r="F71" s="29" t="s">
        <v>36</v>
      </c>
      <c r="G71" s="46" t="s">
        <v>55</v>
      </c>
      <c r="I71" s="1">
        <f t="shared" si="26"/>
        <v>0</v>
      </c>
      <c r="J71" s="1" t="str">
        <f>IF(I71=0,"",SUM($I$3:$I71))</f>
        <v/>
      </c>
      <c r="K71" s="74"/>
    </row>
    <row r="72" spans="1:11" x14ac:dyDescent="0.35">
      <c r="A72" s="114" t="s">
        <v>92</v>
      </c>
      <c r="B72" s="115"/>
      <c r="C72" s="115"/>
      <c r="D72" s="115"/>
      <c r="E72" s="59"/>
      <c r="F72" s="14">
        <v>50</v>
      </c>
      <c r="G72" s="50">
        <f t="shared" ref="G72" si="27">F72*E72</f>
        <v>0</v>
      </c>
      <c r="I72" s="1">
        <f t="shared" si="26"/>
        <v>0</v>
      </c>
      <c r="J72" s="1" t="str">
        <f>IF(I72=0,"",SUM($I$3:$I72))</f>
        <v/>
      </c>
      <c r="K72" s="74" t="str">
        <f>A71</f>
        <v>Transient recreational vehicle park, overnight stay</v>
      </c>
    </row>
    <row r="73" spans="1:11" ht="15" customHeight="1" x14ac:dyDescent="0.35">
      <c r="A73" s="114" t="s">
        <v>93</v>
      </c>
      <c r="B73" s="115"/>
      <c r="C73" s="115"/>
      <c r="D73" s="115"/>
      <c r="E73" s="59"/>
      <c r="F73" s="14">
        <v>75</v>
      </c>
      <c r="G73" s="50">
        <f t="shared" ref="G73" si="28">F73*E73</f>
        <v>0</v>
      </c>
      <c r="I73" s="1">
        <f t="shared" si="26"/>
        <v>0</v>
      </c>
      <c r="J73" s="1" t="str">
        <f>IF(I73=0,"",SUM($I$3:$I73))</f>
        <v/>
      </c>
      <c r="K73" s="74" t="str">
        <f>K72</f>
        <v>Transient recreational vehicle park, overnight stay</v>
      </c>
    </row>
    <row r="74" spans="1:11" ht="15" customHeight="1" x14ac:dyDescent="0.35">
      <c r="A74" s="56"/>
      <c r="B74" s="56"/>
      <c r="C74" s="56"/>
      <c r="D74" s="56"/>
      <c r="E74" s="93" t="s">
        <v>119</v>
      </c>
      <c r="F74" s="94"/>
      <c r="G74" s="69">
        <f>SUM(G72:G73)</f>
        <v>0</v>
      </c>
      <c r="I74" s="1">
        <f t="shared" si="26"/>
        <v>0</v>
      </c>
      <c r="J74" s="1" t="str">
        <f>IF(I74=0,"",SUM($I$3:$I74))</f>
        <v/>
      </c>
      <c r="K74" s="74"/>
    </row>
    <row r="75" spans="1:11" ht="15" customHeight="1" x14ac:dyDescent="0.35">
      <c r="A75" s="91"/>
      <c r="B75" s="91"/>
      <c r="C75" s="91"/>
      <c r="D75" s="91"/>
      <c r="I75" s="1">
        <f t="shared" si="26"/>
        <v>0</v>
      </c>
      <c r="J75" s="1" t="str">
        <f>IF(I75=0,"",SUM($I$3:$I75))</f>
        <v/>
      </c>
      <c r="K75" s="74"/>
    </row>
    <row r="76" spans="1:11" ht="15" customHeight="1" x14ac:dyDescent="0.35">
      <c r="A76" s="99" t="s">
        <v>110</v>
      </c>
      <c r="B76" s="100"/>
      <c r="C76" s="100"/>
      <c r="D76" s="101"/>
      <c r="E76" s="46" t="s">
        <v>1</v>
      </c>
      <c r="F76" s="29" t="s">
        <v>36</v>
      </c>
      <c r="G76" s="46" t="s">
        <v>55</v>
      </c>
      <c r="I76" s="1">
        <f t="shared" si="26"/>
        <v>0</v>
      </c>
      <c r="J76" s="1" t="str">
        <f>IF(I76=0,"",SUM($I$3:$I76))</f>
        <v/>
      </c>
      <c r="K76" s="74"/>
    </row>
    <row r="77" spans="1:11" ht="15" customHeight="1" x14ac:dyDescent="0.35">
      <c r="A77" s="114" t="s">
        <v>117</v>
      </c>
      <c r="B77" s="115"/>
      <c r="C77" s="115"/>
      <c r="D77" s="115"/>
      <c r="E77" s="59"/>
      <c r="F77" s="14">
        <f>IF(D78&gt;16,325,250)</f>
        <v>250</v>
      </c>
      <c r="G77" s="50">
        <f t="shared" ref="G77" si="29">F77*E77</f>
        <v>0</v>
      </c>
      <c r="I77" s="1">
        <f t="shared" si="26"/>
        <v>0</v>
      </c>
      <c r="J77" s="1" t="str">
        <f>IF(I77=0,"",SUM($I$3:$I77))</f>
        <v/>
      </c>
      <c r="K77" s="74" t="str">
        <f>A76</f>
        <v>Service station</v>
      </c>
    </row>
    <row r="78" spans="1:11" ht="15" customHeight="1" x14ac:dyDescent="0.35">
      <c r="A78" s="95" t="s">
        <v>67</v>
      </c>
      <c r="B78" s="96"/>
      <c r="C78" s="97"/>
      <c r="D78" s="75"/>
      <c r="E78" s="93" t="s">
        <v>119</v>
      </c>
      <c r="F78" s="94"/>
      <c r="G78" s="69">
        <f>SUM(G77)</f>
        <v>0</v>
      </c>
      <c r="I78" s="1">
        <f t="shared" si="26"/>
        <v>0</v>
      </c>
      <c r="J78" s="1" t="str">
        <f>IF(I78=0,"",SUM($I$3:$I78))</f>
        <v/>
      </c>
      <c r="K78" s="74"/>
    </row>
    <row r="79" spans="1:11" ht="15" customHeight="1" x14ac:dyDescent="0.35">
      <c r="A79" s="91"/>
      <c r="B79" s="91"/>
      <c r="C79" s="91"/>
      <c r="D79" s="91"/>
      <c r="I79" s="1">
        <f t="shared" si="26"/>
        <v>0</v>
      </c>
      <c r="J79" s="1" t="str">
        <f>IF(I79=0,"",SUM($I$3:$I79))</f>
        <v/>
      </c>
      <c r="K79" s="74"/>
    </row>
    <row r="80" spans="1:11" ht="15" customHeight="1" x14ac:dyDescent="0.35">
      <c r="A80" s="99" t="s">
        <v>111</v>
      </c>
      <c r="B80" s="100"/>
      <c r="C80" s="100"/>
      <c r="D80" s="101"/>
      <c r="E80" s="46" t="s">
        <v>1</v>
      </c>
      <c r="F80" s="29" t="s">
        <v>36</v>
      </c>
      <c r="G80" s="46" t="s">
        <v>55</v>
      </c>
      <c r="I80" s="1">
        <f t="shared" si="26"/>
        <v>0</v>
      </c>
      <c r="J80" s="1" t="str">
        <f>IF(I80=0,"",SUM($I$3:$I80))</f>
        <v/>
      </c>
      <c r="K80" s="74"/>
    </row>
    <row r="81" spans="1:11" x14ac:dyDescent="0.35">
      <c r="A81" s="114" t="s">
        <v>98</v>
      </c>
      <c r="B81" s="115"/>
      <c r="C81" s="115"/>
      <c r="D81" s="115"/>
      <c r="E81" s="59"/>
      <c r="F81" s="14">
        <v>0.1</v>
      </c>
      <c r="G81" s="50">
        <f t="shared" ref="G81:G85" si="30">F81*E81</f>
        <v>0</v>
      </c>
      <c r="I81" s="1">
        <f t="shared" si="26"/>
        <v>0</v>
      </c>
      <c r="J81" s="1" t="str">
        <f>IF(I81=0,"",SUM($I$3:$I81))</f>
        <v/>
      </c>
      <c r="K81" s="74" t="str">
        <f>A80</f>
        <v>Shopping center, without food or laundry</v>
      </c>
    </row>
    <row r="82" spans="1:11" ht="15" customHeight="1" x14ac:dyDescent="0.35">
      <c r="A82" s="56"/>
      <c r="B82" s="56"/>
      <c r="C82" s="56"/>
      <c r="D82" s="56"/>
      <c r="E82" s="93" t="s">
        <v>119</v>
      </c>
      <c r="F82" s="94"/>
      <c r="G82" s="69">
        <f>SUM(G81)</f>
        <v>0</v>
      </c>
      <c r="I82" s="1">
        <f t="shared" si="26"/>
        <v>0</v>
      </c>
      <c r="J82" s="1" t="str">
        <f>IF(I82=0,"",SUM($I$3:$I82))</f>
        <v/>
      </c>
      <c r="K82" s="74"/>
    </row>
    <row r="83" spans="1:11" ht="15" customHeight="1" x14ac:dyDescent="0.35">
      <c r="A83" s="91"/>
      <c r="B83" s="91"/>
      <c r="C83" s="91"/>
      <c r="D83" s="91"/>
      <c r="I83" s="1">
        <f t="shared" si="26"/>
        <v>0</v>
      </c>
      <c r="J83" s="1" t="str">
        <f>IF(I83=0,"",SUM($I$3:$I83))</f>
        <v/>
      </c>
      <c r="K83" s="74"/>
    </row>
    <row r="84" spans="1:11" ht="15" customHeight="1" x14ac:dyDescent="0.35">
      <c r="A84" s="99" t="s">
        <v>112</v>
      </c>
      <c r="B84" s="100"/>
      <c r="C84" s="100"/>
      <c r="D84" s="101"/>
      <c r="E84" s="46" t="s">
        <v>1</v>
      </c>
      <c r="F84" s="29" t="s">
        <v>36</v>
      </c>
      <c r="G84" s="46" t="s">
        <v>55</v>
      </c>
      <c r="I84" s="1">
        <f t="shared" si="26"/>
        <v>0</v>
      </c>
      <c r="J84" s="1" t="str">
        <f>IF(I84=0,"",SUM($I$3:$I84))</f>
        <v/>
      </c>
      <c r="K84" s="74"/>
    </row>
    <row r="85" spans="1:11" x14ac:dyDescent="0.35">
      <c r="A85" s="114" t="s">
        <v>68</v>
      </c>
      <c r="B85" s="115"/>
      <c r="C85" s="115"/>
      <c r="D85" s="115"/>
      <c r="E85" s="59"/>
      <c r="F85" s="14">
        <v>4</v>
      </c>
      <c r="G85" s="50">
        <f t="shared" si="30"/>
        <v>0</v>
      </c>
      <c r="I85" s="1">
        <f t="shared" si="26"/>
        <v>0</v>
      </c>
      <c r="J85" s="1" t="str">
        <f>IF(I85=0,"",SUM($I$3:$I85))</f>
        <v/>
      </c>
      <c r="K85" s="74" t="str">
        <f>A84</f>
        <v>Stadium, race track, or ball park</v>
      </c>
    </row>
    <row r="86" spans="1:11" x14ac:dyDescent="0.35">
      <c r="A86" s="56"/>
      <c r="B86" s="56"/>
      <c r="C86" s="56"/>
      <c r="D86" s="56"/>
      <c r="E86" s="93" t="s">
        <v>119</v>
      </c>
      <c r="F86" s="94"/>
      <c r="G86" s="69">
        <f>SUM(G85)</f>
        <v>0</v>
      </c>
      <c r="I86" s="1">
        <f t="shared" si="26"/>
        <v>0</v>
      </c>
      <c r="J86" s="1" t="str">
        <f>IF(I86=0,"",SUM($I$3:$I86))</f>
        <v/>
      </c>
      <c r="K86" s="74"/>
    </row>
    <row r="87" spans="1:11" ht="15" customHeight="1" x14ac:dyDescent="0.35">
      <c r="A87" s="98"/>
      <c r="B87" s="98"/>
      <c r="C87" s="98"/>
      <c r="D87" s="98"/>
      <c r="I87" s="1">
        <f t="shared" si="26"/>
        <v>0</v>
      </c>
      <c r="J87" s="1" t="str">
        <f>IF(I87=0,"",SUM($I$3:$I87))</f>
        <v/>
      </c>
      <c r="K87" s="74"/>
    </row>
    <row r="88" spans="1:11" x14ac:dyDescent="0.35">
      <c r="A88" s="99" t="s">
        <v>113</v>
      </c>
      <c r="B88" s="100"/>
      <c r="C88" s="100"/>
      <c r="D88" s="101"/>
      <c r="E88" s="46" t="s">
        <v>1</v>
      </c>
      <c r="F88" s="29" t="s">
        <v>36</v>
      </c>
      <c r="G88" s="46" t="s">
        <v>55</v>
      </c>
      <c r="I88" s="1">
        <f t="shared" si="26"/>
        <v>0</v>
      </c>
      <c r="J88" s="1" t="str">
        <f>IF(I88=0,"",SUM($I$3:$I88))</f>
        <v/>
      </c>
      <c r="K88" s="74"/>
    </row>
    <row r="89" spans="1:11" x14ac:dyDescent="0.35">
      <c r="A89" s="114" t="s">
        <v>100</v>
      </c>
      <c r="B89" s="115"/>
      <c r="C89" s="115"/>
      <c r="D89" s="115"/>
      <c r="E89" s="59"/>
      <c r="F89" s="14">
        <v>200</v>
      </c>
      <c r="G89" s="50">
        <f t="shared" ref="G89" si="31">F89*E89</f>
        <v>0</v>
      </c>
      <c r="I89" s="1">
        <f t="shared" si="26"/>
        <v>0</v>
      </c>
      <c r="J89" s="1" t="str">
        <f>IF(I89=0,"",SUM($I$3:$I89))</f>
        <v/>
      </c>
      <c r="K89" s="74" t="str">
        <f>A88</f>
        <v>Store</v>
      </c>
    </row>
    <row r="90" spans="1:11" x14ac:dyDescent="0.35">
      <c r="A90" s="56"/>
      <c r="B90" s="56"/>
      <c r="C90" s="56"/>
      <c r="D90" s="56"/>
      <c r="E90" s="93" t="s">
        <v>119</v>
      </c>
      <c r="F90" s="94"/>
      <c r="G90" s="69">
        <f>SUM(G89)</f>
        <v>0</v>
      </c>
      <c r="I90" s="1">
        <f t="shared" si="26"/>
        <v>0</v>
      </c>
      <c r="J90" s="1" t="str">
        <f>IF(I90=0,"",SUM($I$3:$I90))</f>
        <v/>
      </c>
      <c r="K90" s="74"/>
    </row>
    <row r="91" spans="1:11" ht="15" customHeight="1" x14ac:dyDescent="0.35">
      <c r="A91" s="98"/>
      <c r="B91" s="98"/>
      <c r="C91" s="98"/>
      <c r="D91" s="98"/>
      <c r="I91" s="1">
        <f t="shared" si="26"/>
        <v>0</v>
      </c>
      <c r="J91" s="1" t="str">
        <f>IF(I91=0,"",SUM($I$3:$I91))</f>
        <v/>
      </c>
      <c r="K91" s="74"/>
    </row>
    <row r="92" spans="1:11" ht="15" customHeight="1" x14ac:dyDescent="0.35">
      <c r="A92" s="99" t="s">
        <v>114</v>
      </c>
      <c r="B92" s="100"/>
      <c r="C92" s="100"/>
      <c r="D92" s="101"/>
      <c r="E92" s="46" t="s">
        <v>1</v>
      </c>
      <c r="F92" s="29" t="s">
        <v>36</v>
      </c>
      <c r="G92" s="46" t="s">
        <v>55</v>
      </c>
      <c r="I92" s="1">
        <f t="shared" si="26"/>
        <v>0</v>
      </c>
      <c r="J92" s="1" t="str">
        <f>IF(I92=0,"",SUM($I$3:$I92))</f>
        <v/>
      </c>
      <c r="K92" s="74"/>
    </row>
    <row r="93" spans="1:11" x14ac:dyDescent="0.35">
      <c r="A93" s="114" t="s">
        <v>101</v>
      </c>
      <c r="B93" s="115"/>
      <c r="C93" s="115"/>
      <c r="D93" s="115"/>
      <c r="E93" s="59"/>
      <c r="F93" s="14">
        <v>10</v>
      </c>
      <c r="G93" s="50">
        <f t="shared" ref="G93" si="32">F93*E93</f>
        <v>0</v>
      </c>
      <c r="I93" s="1">
        <f t="shared" si="26"/>
        <v>0</v>
      </c>
      <c r="J93" s="1" t="str">
        <f>IF(I93=0,"",SUM($I$3:$I93))</f>
        <v/>
      </c>
      <c r="K93" s="74" t="str">
        <f>A92</f>
        <v>Swimming and bathing facility, public</v>
      </c>
    </row>
    <row r="94" spans="1:11" x14ac:dyDescent="0.35">
      <c r="A94" s="56"/>
      <c r="B94" s="56"/>
      <c r="C94" s="56"/>
      <c r="D94" s="56"/>
      <c r="E94" s="93" t="s">
        <v>119</v>
      </c>
      <c r="F94" s="94"/>
      <c r="G94" s="69">
        <f>SUM(G93)</f>
        <v>0</v>
      </c>
      <c r="I94" s="1">
        <f t="shared" si="26"/>
        <v>0</v>
      </c>
      <c r="J94" s="1" t="str">
        <f>IF(I94=0,"",SUM($I$3:$I94))</f>
        <v/>
      </c>
      <c r="K94" s="74"/>
    </row>
    <row r="95" spans="1:11" ht="15" customHeight="1" x14ac:dyDescent="0.35">
      <c r="A95" s="98"/>
      <c r="B95" s="98"/>
      <c r="C95" s="98"/>
      <c r="D95" s="98"/>
      <c r="I95" s="1">
        <f t="shared" si="26"/>
        <v>0</v>
      </c>
      <c r="J95" s="1" t="str">
        <f>IF(I95=0,"",SUM($I$3:$I95))</f>
        <v/>
      </c>
      <c r="K95" s="74"/>
    </row>
    <row r="96" spans="1:11" ht="15" customHeight="1" x14ac:dyDescent="0.35">
      <c r="A96" s="99" t="s">
        <v>115</v>
      </c>
      <c r="B96" s="100"/>
      <c r="C96" s="100"/>
      <c r="D96" s="101"/>
      <c r="E96" s="46" t="s">
        <v>1</v>
      </c>
      <c r="F96" s="29" t="s">
        <v>36</v>
      </c>
      <c r="G96" s="46" t="s">
        <v>55</v>
      </c>
      <c r="I96" s="1">
        <f t="shared" si="26"/>
        <v>0</v>
      </c>
      <c r="J96" s="1" t="str">
        <f>IF(I96=0,"",SUM($I$3:$I96))</f>
        <v/>
      </c>
      <c r="K96" s="74"/>
    </row>
    <row r="97" spans="1:11" x14ac:dyDescent="0.35">
      <c r="A97" s="114" t="s">
        <v>68</v>
      </c>
      <c r="B97" s="115"/>
      <c r="C97" s="115"/>
      <c r="D97" s="115"/>
      <c r="E97" s="59"/>
      <c r="F97" s="14">
        <v>4</v>
      </c>
      <c r="G97" s="50">
        <f t="shared" ref="G97" si="33">F97*E97</f>
        <v>0</v>
      </c>
      <c r="I97" s="1">
        <f t="shared" si="26"/>
        <v>0</v>
      </c>
      <c r="J97" s="1" t="str">
        <f>IF(I97=0,"",SUM($I$3:$I97))</f>
        <v/>
      </c>
      <c r="K97" s="74" t="str">
        <f>A96</f>
        <v>Theater or auditorium</v>
      </c>
    </row>
    <row r="98" spans="1:11" x14ac:dyDescent="0.35">
      <c r="A98" s="56"/>
      <c r="B98" s="56"/>
      <c r="C98" s="56"/>
      <c r="D98" s="56"/>
      <c r="E98" s="93" t="s">
        <v>119</v>
      </c>
      <c r="F98" s="94"/>
      <c r="G98" s="69">
        <f>SUM(G97)</f>
        <v>0</v>
      </c>
      <c r="I98" s="1">
        <f t="shared" si="26"/>
        <v>0</v>
      </c>
      <c r="J98" s="1" t="str">
        <f>IF(I98=0,"",SUM($I$3:$I98))</f>
        <v/>
      </c>
      <c r="K98" s="74"/>
    </row>
    <row r="99" spans="1:11" ht="15" customHeight="1" x14ac:dyDescent="0.35">
      <c r="A99" s="98"/>
      <c r="B99" s="98"/>
      <c r="C99" s="98"/>
      <c r="D99" s="98"/>
      <c r="I99" s="1">
        <f t="shared" si="26"/>
        <v>0</v>
      </c>
      <c r="J99" s="1" t="str">
        <f>IF(I99=0,"",SUM($I$3:$I99))</f>
        <v/>
      </c>
      <c r="K99" s="74"/>
    </row>
    <row r="100" spans="1:11" ht="15" customHeight="1" x14ac:dyDescent="0.35">
      <c r="A100" s="99" t="s">
        <v>102</v>
      </c>
      <c r="B100" s="100"/>
      <c r="C100" s="100"/>
      <c r="D100" s="101"/>
      <c r="E100" s="46" t="s">
        <v>1</v>
      </c>
      <c r="F100" s="29" t="s">
        <v>36</v>
      </c>
      <c r="G100" s="46" t="s">
        <v>55</v>
      </c>
      <c r="I100" s="1">
        <f t="shared" si="26"/>
        <v>0</v>
      </c>
      <c r="J100" s="1" t="str">
        <f>IF(I100=0,"",SUM($I$3:$I100))</f>
        <v/>
      </c>
      <c r="K100" s="74"/>
    </row>
    <row r="101" spans="1:11" ht="15" customHeight="1" x14ac:dyDescent="0.35">
      <c r="A101" s="102" t="s">
        <v>103</v>
      </c>
      <c r="B101" s="103"/>
      <c r="C101" s="103"/>
      <c r="D101" s="103"/>
      <c r="E101" s="64"/>
      <c r="F101" s="60">
        <v>250</v>
      </c>
      <c r="G101" s="61">
        <f t="shared" ref="G101" si="34">F101*E101</f>
        <v>0</v>
      </c>
      <c r="I101" s="1">
        <f t="shared" si="26"/>
        <v>0</v>
      </c>
      <c r="J101" s="1" t="str">
        <f>IF(I101=0,"",SUM($I$3:$I101))</f>
        <v/>
      </c>
      <c r="K101" s="74" t="str">
        <f>A100</f>
        <v>Veterinary clinic</v>
      </c>
    </row>
    <row r="102" spans="1:11" x14ac:dyDescent="0.35">
      <c r="A102" s="104" t="s">
        <v>52</v>
      </c>
      <c r="B102" s="105"/>
      <c r="C102" s="105"/>
      <c r="D102" s="105"/>
      <c r="E102" s="66"/>
      <c r="F102" s="62">
        <v>15</v>
      </c>
      <c r="G102" s="63">
        <f t="shared" ref="G102:G103" si="35">F102*E102</f>
        <v>0</v>
      </c>
      <c r="I102" s="1">
        <f t="shared" si="26"/>
        <v>0</v>
      </c>
      <c r="J102" s="1" t="str">
        <f>IF(I102=0,"",SUM($I$3:$I102))</f>
        <v/>
      </c>
      <c r="K102" s="74" t="str">
        <f>K101</f>
        <v>Veterinary clinic</v>
      </c>
    </row>
    <row r="103" spans="1:11" x14ac:dyDescent="0.35">
      <c r="A103" s="106" t="s">
        <v>104</v>
      </c>
      <c r="B103" s="107"/>
      <c r="C103" s="107"/>
      <c r="D103" s="107"/>
      <c r="E103" s="65"/>
      <c r="F103" s="15">
        <v>20</v>
      </c>
      <c r="G103" s="51">
        <f t="shared" si="35"/>
        <v>0</v>
      </c>
      <c r="I103" s="1">
        <f t="shared" si="26"/>
        <v>0</v>
      </c>
      <c r="J103" s="1" t="str">
        <f>IF(I103=0,"",SUM($I$3:$I103))</f>
        <v/>
      </c>
      <c r="K103" s="74" t="str">
        <f>K102</f>
        <v>Veterinary clinic</v>
      </c>
    </row>
    <row r="104" spans="1:11" x14ac:dyDescent="0.35">
      <c r="A104" s="56"/>
      <c r="B104" s="56"/>
      <c r="C104" s="56"/>
      <c r="D104" s="56"/>
      <c r="E104" s="93" t="s">
        <v>119</v>
      </c>
      <c r="F104" s="94"/>
      <c r="G104" s="69">
        <f>SUM(G101:G103)</f>
        <v>0</v>
      </c>
      <c r="I104" s="1">
        <f t="shared" si="26"/>
        <v>0</v>
      </c>
      <c r="J104" s="1" t="str">
        <f>IF(I104=0,"",SUM($I$3:$I104))</f>
        <v/>
      </c>
      <c r="K104" s="74"/>
    </row>
    <row r="105" spans="1:11" ht="15" customHeight="1" x14ac:dyDescent="0.35">
      <c r="A105" s="98"/>
      <c r="B105" s="98"/>
      <c r="C105" s="98"/>
      <c r="D105" s="98"/>
      <c r="I105" s="1">
        <f t="shared" si="26"/>
        <v>0</v>
      </c>
      <c r="J105" s="1" t="str">
        <f>IF(I105=0,"",SUM($I$3:$I105))</f>
        <v/>
      </c>
      <c r="K105" s="74"/>
    </row>
    <row r="106" spans="1:11" ht="15" customHeight="1" x14ac:dyDescent="0.35">
      <c r="A106" s="99" t="s">
        <v>106</v>
      </c>
      <c r="B106" s="100"/>
      <c r="C106" s="100"/>
      <c r="D106" s="101"/>
      <c r="E106" s="46" t="s">
        <v>1</v>
      </c>
      <c r="F106" s="29" t="s">
        <v>36</v>
      </c>
      <c r="G106" s="46" t="s">
        <v>55</v>
      </c>
      <c r="I106" s="1">
        <f t="shared" si="26"/>
        <v>0</v>
      </c>
      <c r="J106" s="1" t="str">
        <f>IF(I106=0,"",SUM($I$3:$I106))</f>
        <v/>
      </c>
      <c r="K106" s="74"/>
    </row>
    <row r="107" spans="1:11" ht="15" customHeight="1" x14ac:dyDescent="0.35">
      <c r="A107" s="102" t="s">
        <v>52</v>
      </c>
      <c r="B107" s="103"/>
      <c r="C107" s="103"/>
      <c r="D107" s="103"/>
      <c r="E107" s="64"/>
      <c r="F107" s="60">
        <v>15</v>
      </c>
      <c r="G107" s="61">
        <f t="shared" ref="G107" si="36">F107*E107</f>
        <v>0</v>
      </c>
      <c r="I107" s="1">
        <f t="shared" si="26"/>
        <v>0</v>
      </c>
      <c r="J107" s="1" t="str">
        <f>IF(I107=0,"",SUM($I$3:$I107))</f>
        <v/>
      </c>
      <c r="K107" s="74" t="str">
        <f>A106</f>
        <v>Warehouse, excluding offices and living quarters</v>
      </c>
    </row>
    <row r="108" spans="1:11" ht="15" customHeight="1" x14ac:dyDescent="0.35">
      <c r="A108" s="104" t="s">
        <v>105</v>
      </c>
      <c r="B108" s="105"/>
      <c r="C108" s="105"/>
      <c r="D108" s="105"/>
      <c r="E108" s="66"/>
      <c r="F108" s="62">
        <v>100</v>
      </c>
      <c r="G108" s="63">
        <f t="shared" ref="G108" si="37">F108*E108</f>
        <v>0</v>
      </c>
      <c r="I108" s="1">
        <f t="shared" si="26"/>
        <v>0</v>
      </c>
      <c r="J108" s="1" t="str">
        <f>IF(I108=0,"",SUM($I$3:$I108))</f>
        <v/>
      </c>
      <c r="K108" s="74" t="str">
        <f>K107</f>
        <v>Warehouse, excluding offices and living quarters</v>
      </c>
    </row>
    <row r="109" spans="1:11" ht="15" customHeight="1" x14ac:dyDescent="0.35">
      <c r="A109" s="104" t="s">
        <v>133</v>
      </c>
      <c r="B109" s="105"/>
      <c r="C109" s="105"/>
      <c r="D109" s="105"/>
      <c r="E109" s="66"/>
      <c r="F109" s="62">
        <v>1</v>
      </c>
      <c r="G109" s="63">
        <f t="shared" ref="G109" si="38">F109*E109</f>
        <v>0</v>
      </c>
      <c r="I109" s="1">
        <f t="shared" ref="I109" si="39">IF(ISNUMBER(E109),1,0)</f>
        <v>0</v>
      </c>
      <c r="J109" s="1" t="str">
        <f>IF(I109=0,"",SUM($I$3:$I109))</f>
        <v/>
      </c>
      <c r="K109" s="74" t="str">
        <f>K108</f>
        <v>Warehouse, excluding offices and living quarters</v>
      </c>
    </row>
    <row r="110" spans="1:11" ht="15" customHeight="1" x14ac:dyDescent="0.35">
      <c r="A110" s="106" t="s">
        <v>134</v>
      </c>
      <c r="B110" s="107"/>
      <c r="C110" s="107"/>
      <c r="D110" s="107"/>
      <c r="E110" s="65"/>
      <c r="F110" s="15">
        <v>0.5</v>
      </c>
      <c r="G110" s="51">
        <f>ROUNDUP(F110*E110,0)</f>
        <v>0</v>
      </c>
      <c r="I110" s="1">
        <f t="shared" si="26"/>
        <v>0</v>
      </c>
      <c r="J110" s="1" t="str">
        <f>IF(I110=0,"",SUM($I$3:$I110))</f>
        <v/>
      </c>
      <c r="K110" s="74" t="str">
        <f>K108</f>
        <v>Warehouse, excluding offices and living quarters</v>
      </c>
    </row>
    <row r="111" spans="1:11" ht="15" customHeight="1" x14ac:dyDescent="0.35">
      <c r="A111" s="56"/>
      <c r="B111" s="56"/>
      <c r="C111" s="56"/>
      <c r="D111" s="56"/>
      <c r="E111" s="93" t="s">
        <v>119</v>
      </c>
      <c r="F111" s="94"/>
      <c r="G111" s="69">
        <f>SUM(G107:G110)</f>
        <v>0</v>
      </c>
      <c r="I111" s="1">
        <f t="shared" si="26"/>
        <v>0</v>
      </c>
      <c r="J111" s="1" t="str">
        <f>IF(I111=0,"",SUM($I$3:$I111))</f>
        <v/>
      </c>
      <c r="K111" s="74"/>
    </row>
    <row r="112" spans="1:11" ht="15" customHeight="1" x14ac:dyDescent="0.35">
      <c r="A112" s="98"/>
      <c r="B112" s="98"/>
      <c r="C112" s="98"/>
      <c r="D112" s="98"/>
      <c r="I112" s="1">
        <f t="shared" si="26"/>
        <v>0</v>
      </c>
      <c r="J112" s="1" t="str">
        <f>IF(I112=0,"",SUM($I$3:$I112))</f>
        <v/>
      </c>
      <c r="K112" s="74"/>
    </row>
    <row r="113" spans="1:11" ht="15" customHeight="1" x14ac:dyDescent="0.35">
      <c r="A113" s="99" t="s">
        <v>21</v>
      </c>
      <c r="B113" s="100"/>
      <c r="C113" s="100"/>
      <c r="D113" s="101"/>
      <c r="E113" s="46" t="s">
        <v>1</v>
      </c>
      <c r="F113" s="29" t="s">
        <v>36</v>
      </c>
      <c r="G113" s="46" t="s">
        <v>55</v>
      </c>
      <c r="I113" s="1">
        <f t="shared" si="26"/>
        <v>0</v>
      </c>
      <c r="J113" s="1" t="str">
        <f>IF(I113=0,"",SUM($I$3:$I113))</f>
        <v/>
      </c>
      <c r="K113" s="74"/>
    </row>
    <row r="114" spans="1:11" ht="30" customHeight="1" x14ac:dyDescent="0.35">
      <c r="A114" s="108"/>
      <c r="B114" s="108"/>
      <c r="C114" s="108"/>
      <c r="D114" s="108"/>
      <c r="E114" s="59"/>
      <c r="F114" s="71"/>
      <c r="G114" s="50">
        <f t="shared" ref="G114" si="40">F114*E114</f>
        <v>0</v>
      </c>
      <c r="I114" s="1">
        <f t="shared" si="26"/>
        <v>0</v>
      </c>
      <c r="J114" s="1" t="str">
        <f>IF(I114=0,"",SUM($I$3:$I114))</f>
        <v/>
      </c>
      <c r="K114" s="74" t="str">
        <f>A113</f>
        <v>Other</v>
      </c>
    </row>
    <row r="115" spans="1:11" ht="30" customHeight="1" x14ac:dyDescent="0.35">
      <c r="A115" s="108"/>
      <c r="B115" s="108"/>
      <c r="C115" s="108"/>
      <c r="D115" s="108"/>
      <c r="E115" s="59"/>
      <c r="F115" s="71"/>
      <c r="G115" s="50">
        <f t="shared" ref="G115:G116" si="41">F115*E115</f>
        <v>0</v>
      </c>
      <c r="I115" s="1">
        <f t="shared" si="26"/>
        <v>0</v>
      </c>
      <c r="J115" s="1" t="str">
        <f>IF(I115=0,"",SUM($I$3:$I115))</f>
        <v/>
      </c>
      <c r="K115" s="74" t="str">
        <f>K114</f>
        <v>Other</v>
      </c>
    </row>
    <row r="116" spans="1:11" ht="30" customHeight="1" x14ac:dyDescent="0.35">
      <c r="A116" s="108"/>
      <c r="B116" s="108"/>
      <c r="C116" s="108"/>
      <c r="D116" s="108"/>
      <c r="E116" s="59"/>
      <c r="F116" s="71"/>
      <c r="G116" s="50">
        <f t="shared" si="41"/>
        <v>0</v>
      </c>
      <c r="I116" s="1">
        <f t="shared" si="26"/>
        <v>0</v>
      </c>
      <c r="J116" s="1" t="str">
        <f>IF(I116=0,"",SUM($I$3:$I116))</f>
        <v/>
      </c>
      <c r="K116" s="74" t="str">
        <f>K115</f>
        <v>Other</v>
      </c>
    </row>
    <row r="117" spans="1:11" x14ac:dyDescent="0.35">
      <c r="A117" s="56"/>
      <c r="B117" s="56"/>
      <c r="C117" s="56"/>
      <c r="D117" s="56"/>
      <c r="E117" s="93" t="s">
        <v>119</v>
      </c>
      <c r="F117" s="94"/>
      <c r="G117" s="69">
        <f>SUM(G114:G116)</f>
        <v>0</v>
      </c>
      <c r="I117" s="1">
        <f t="shared" si="26"/>
        <v>0</v>
      </c>
      <c r="J117" s="1" t="str">
        <f>IF(I117=0,"",SUM($I$3:$I117))</f>
        <v/>
      </c>
      <c r="K117" s="74"/>
    </row>
    <row r="118" spans="1:11" x14ac:dyDescent="0.35">
      <c r="A118" s="98"/>
      <c r="B118" s="98"/>
      <c r="C118" s="98"/>
      <c r="D118" s="98"/>
    </row>
    <row r="119" spans="1:11" ht="43.5" x14ac:dyDescent="0.35">
      <c r="A119" s="12" t="s">
        <v>118</v>
      </c>
      <c r="B119" s="49" t="s">
        <v>20</v>
      </c>
      <c r="C119" s="12" t="s">
        <v>22</v>
      </c>
      <c r="D119" s="49" t="s">
        <v>23</v>
      </c>
      <c r="E119" s="25"/>
      <c r="F119" s="38"/>
      <c r="G119" s="38"/>
      <c r="I119" s="25"/>
      <c r="J119" s="25"/>
    </row>
    <row r="120" spans="1:11" x14ac:dyDescent="0.35">
      <c r="A120" s="69">
        <f>G117+G111+G104+G98+G94+G90+G86+G78+G82+G74+G69+G64+G59+G53+G35+G29+G25+G20+G14+G10+G6</f>
        <v>0</v>
      </c>
      <c r="B120" s="70">
        <f>(18+((A120/Residential!E4)/1000)^0.5)/(4+((A120/Residential!E4)/1000)^0.5)</f>
        <v>4.5</v>
      </c>
      <c r="C120" s="69">
        <f>B120*A120</f>
        <v>0</v>
      </c>
      <c r="D120" s="70">
        <f>C120/1440</f>
        <v>0</v>
      </c>
      <c r="E120" s="25"/>
      <c r="F120" s="38"/>
      <c r="G120" s="38"/>
      <c r="I120" s="25"/>
      <c r="J120" s="25"/>
    </row>
    <row r="122" spans="1:11" ht="15.75" customHeight="1" thickBot="1" x14ac:dyDescent="0.4">
      <c r="A122" s="109" t="s">
        <v>46</v>
      </c>
      <c r="B122" s="109"/>
      <c r="C122" s="109"/>
      <c r="D122" s="109"/>
      <c r="E122" s="109"/>
      <c r="F122" s="109"/>
      <c r="G122" s="109"/>
      <c r="J122" s="27" t="s">
        <v>43</v>
      </c>
      <c r="K122" s="72"/>
    </row>
    <row r="123" spans="1:11" ht="15.75" customHeight="1" x14ac:dyDescent="0.35">
      <c r="A123" s="110" t="s">
        <v>45</v>
      </c>
      <c r="B123" s="110"/>
      <c r="C123" s="110"/>
      <c r="D123" s="110"/>
      <c r="E123" s="110"/>
      <c r="F123" s="110"/>
      <c r="G123" s="110"/>
      <c r="H123" s="28"/>
      <c r="I123" s="27"/>
    </row>
    <row r="125" spans="1:11" ht="15" customHeight="1" x14ac:dyDescent="0.35">
      <c r="A125" s="119" t="s">
        <v>48</v>
      </c>
      <c r="B125" s="119"/>
      <c r="C125" s="119"/>
      <c r="D125" s="119"/>
      <c r="E125" s="119"/>
      <c r="F125" s="119"/>
      <c r="G125" s="119"/>
    </row>
    <row r="126" spans="1:11" ht="15" customHeight="1" x14ac:dyDescent="0.35">
      <c r="A126" s="98"/>
      <c r="B126" s="98"/>
      <c r="C126" s="98"/>
      <c r="D126" s="98"/>
    </row>
    <row r="127" spans="1:11" ht="15" customHeight="1" x14ac:dyDescent="0.35">
      <c r="A127" s="132" t="s">
        <v>0</v>
      </c>
      <c r="B127" s="132"/>
      <c r="C127" s="132"/>
      <c r="D127" s="132"/>
      <c r="E127" s="46" t="s">
        <v>1</v>
      </c>
      <c r="F127" s="29" t="s">
        <v>36</v>
      </c>
      <c r="G127" s="46" t="s">
        <v>55</v>
      </c>
    </row>
    <row r="128" spans="1:11" ht="45" customHeight="1" x14ac:dyDescent="0.35">
      <c r="A128" s="111" t="str">
        <f t="shared" ref="A128:A139" si="42">IFERROR(INDEX($K$3:$K$117,MATCH($J128,$J$3:$J$117,0))&amp;", "&amp;INDEX($A$3:$G$117,MATCH($J128,$J$3:$J$117,0),COLUMN(A$127)),"")</f>
        <v/>
      </c>
      <c r="B128" s="112"/>
      <c r="C128" s="112"/>
      <c r="D128" s="113"/>
      <c r="E128" s="50" t="str">
        <f>IFERROR(INDEX($A$3:$G$117,MATCH($J128,$J$3:$J$117,0),COLUMN(E$127)),"")</f>
        <v/>
      </c>
      <c r="F128" s="14" t="str">
        <f>IFERROR(INDEX($A$3:$G$117,MATCH($J128,$J$3:$J$117,0),COLUMN(F$127)),"")</f>
        <v/>
      </c>
      <c r="G128" s="50" t="str">
        <f>IFERROR(INDEX($A$3:$G$117,MATCH($J128,$J$3:$J$117,0),COLUMN(G$127)),"")</f>
        <v/>
      </c>
      <c r="J128" s="1">
        <v>1</v>
      </c>
      <c r="K128" s="74"/>
    </row>
    <row r="129" spans="1:11" ht="45" customHeight="1" x14ac:dyDescent="0.35">
      <c r="A129" s="111" t="str">
        <f t="shared" si="42"/>
        <v/>
      </c>
      <c r="B129" s="112"/>
      <c r="C129" s="112"/>
      <c r="D129" s="113"/>
      <c r="E129" s="50" t="str">
        <f>IFERROR(INDEX($A$3:$G$117,MATCH($J129,$J$3:$J$117,0),COLUMN(E$127)),"")</f>
        <v/>
      </c>
      <c r="F129" s="14" t="str">
        <f>IFERROR(INDEX($A$3:$G$117,MATCH($J129,$J$3:$J$117,0),COLUMN(F$127)),"")</f>
        <v/>
      </c>
      <c r="G129" s="50" t="str">
        <f>IFERROR(INDEX($A$3:$G$117,MATCH($J129,$J$3:$J$117,0),COLUMN(G$127)),"")</f>
        <v/>
      </c>
      <c r="J129" s="1">
        <f t="shared" ref="J129:J139" si="43">J128+1</f>
        <v>2</v>
      </c>
      <c r="K129" s="74"/>
    </row>
    <row r="130" spans="1:11" ht="45" customHeight="1" x14ac:dyDescent="0.35">
      <c r="A130" s="111" t="str">
        <f t="shared" si="42"/>
        <v/>
      </c>
      <c r="B130" s="112"/>
      <c r="C130" s="112"/>
      <c r="D130" s="113"/>
      <c r="E130" s="50" t="str">
        <f>IFERROR(INDEX($A$3:$G$117,MATCH($J130,$J$3:$J$117,0),COLUMN(E$127)),"")</f>
        <v/>
      </c>
      <c r="F130" s="14" t="str">
        <f>IFERROR(INDEX($A$3:$G$117,MATCH($J130,$J$3:$J$117,0),COLUMN(F$127)),"")</f>
        <v/>
      </c>
      <c r="G130" s="50" t="str">
        <f>IFERROR(INDEX($A$3:$G$117,MATCH($J130,$J$3:$J$117,0),COLUMN(G$127)),"")</f>
        <v/>
      </c>
      <c r="J130" s="1">
        <f t="shared" si="43"/>
        <v>3</v>
      </c>
      <c r="K130" s="74"/>
    </row>
    <row r="131" spans="1:11" ht="45" customHeight="1" x14ac:dyDescent="0.35">
      <c r="A131" s="111" t="str">
        <f t="shared" si="42"/>
        <v/>
      </c>
      <c r="B131" s="112"/>
      <c r="C131" s="112"/>
      <c r="D131" s="113"/>
      <c r="E131" s="50" t="str">
        <f>IFERROR(INDEX($A$3:$G$117,MATCH($J131,$J$3:$J$117,0),COLUMN(E$127)),"")</f>
        <v/>
      </c>
      <c r="F131" s="14" t="str">
        <f>IFERROR(INDEX($A$3:$G$117,MATCH($J131,$J$3:$J$117,0),COLUMN(F$127)),"")</f>
        <v/>
      </c>
      <c r="G131" s="50" t="str">
        <f>IFERROR(INDEX($A$3:$G$117,MATCH($J131,$J$3:$J$117,0),COLUMN(G$127)),"")</f>
        <v/>
      </c>
      <c r="J131" s="1">
        <f t="shared" si="43"/>
        <v>4</v>
      </c>
      <c r="K131" s="74"/>
    </row>
    <row r="132" spans="1:11" ht="45" customHeight="1" x14ac:dyDescent="0.35">
      <c r="A132" s="111" t="str">
        <f t="shared" si="42"/>
        <v/>
      </c>
      <c r="B132" s="112"/>
      <c r="C132" s="112"/>
      <c r="D132" s="113"/>
      <c r="E132" s="50" t="str">
        <f>IFERROR(INDEX($A$3:$G$117,MATCH($J132,$J$3:$J$117,0),COLUMN(E$127)),"")</f>
        <v/>
      </c>
      <c r="F132" s="14" t="str">
        <f>IFERROR(INDEX($A$3:$G$117,MATCH($J132,$J$3:$J$117,0),COLUMN(F$127)),"")</f>
        <v/>
      </c>
      <c r="G132" s="50" t="str">
        <f>IFERROR(INDEX($A$3:$G$117,MATCH($J132,$J$3:$J$117,0),COLUMN(G$127)),"")</f>
        <v/>
      </c>
      <c r="J132" s="1">
        <f t="shared" si="43"/>
        <v>5</v>
      </c>
      <c r="K132" s="74"/>
    </row>
    <row r="133" spans="1:11" ht="45" customHeight="1" x14ac:dyDescent="0.35">
      <c r="A133" s="111" t="str">
        <f t="shared" si="42"/>
        <v/>
      </c>
      <c r="B133" s="112"/>
      <c r="C133" s="112"/>
      <c r="D133" s="113"/>
      <c r="E133" s="50" t="str">
        <f>IFERROR(INDEX($A$3:$G$117,MATCH($J133,$J$3:$J$117,0),COLUMN(E$127)),"")</f>
        <v/>
      </c>
      <c r="F133" s="14" t="str">
        <f>IFERROR(INDEX($A$3:$G$117,MATCH($J133,$J$3:$J$117,0),COLUMN(F$127)),"")</f>
        <v/>
      </c>
      <c r="G133" s="50" t="str">
        <f>IFERROR(INDEX($A$3:$G$117,MATCH($J133,$J$3:$J$117,0),COLUMN(G$127)),"")</f>
        <v/>
      </c>
      <c r="J133" s="1">
        <f t="shared" si="43"/>
        <v>6</v>
      </c>
      <c r="K133" s="74"/>
    </row>
    <row r="134" spans="1:11" ht="45" customHeight="1" x14ac:dyDescent="0.35">
      <c r="A134" s="111" t="str">
        <f t="shared" si="42"/>
        <v/>
      </c>
      <c r="B134" s="112"/>
      <c r="C134" s="112"/>
      <c r="D134" s="113"/>
      <c r="E134" s="50" t="str">
        <f>IFERROR(INDEX($A$3:$G$117,MATCH($J134,$J$3:$J$117,0),COLUMN(E$127)),"")</f>
        <v/>
      </c>
      <c r="F134" s="14" t="str">
        <f>IFERROR(INDEX($A$3:$G$117,MATCH($J134,$J$3:$J$117,0),COLUMN(F$127)),"")</f>
        <v/>
      </c>
      <c r="G134" s="50" t="str">
        <f>IFERROR(INDEX($A$3:$G$117,MATCH($J134,$J$3:$J$117,0),COLUMN(G$127)),"")</f>
        <v/>
      </c>
      <c r="J134" s="1">
        <f t="shared" si="43"/>
        <v>7</v>
      </c>
      <c r="K134" s="74"/>
    </row>
    <row r="135" spans="1:11" ht="45" customHeight="1" x14ac:dyDescent="0.35">
      <c r="A135" s="111" t="str">
        <f t="shared" si="42"/>
        <v/>
      </c>
      <c r="B135" s="112"/>
      <c r="C135" s="112"/>
      <c r="D135" s="113"/>
      <c r="E135" s="50" t="str">
        <f>IFERROR(INDEX($A$3:$G$117,MATCH($J135,$J$3:$J$117,0),COLUMN(E$127)),"")</f>
        <v/>
      </c>
      <c r="F135" s="14" t="str">
        <f>IFERROR(INDEX($A$3:$G$117,MATCH($J135,$J$3:$J$117,0),COLUMN(F$127)),"")</f>
        <v/>
      </c>
      <c r="G135" s="50" t="str">
        <f>IFERROR(INDEX($A$3:$G$117,MATCH($J135,$J$3:$J$117,0),COLUMN(G$127)),"")</f>
        <v/>
      </c>
      <c r="J135" s="1">
        <f t="shared" si="43"/>
        <v>8</v>
      </c>
      <c r="K135" s="74"/>
    </row>
    <row r="136" spans="1:11" ht="45" customHeight="1" x14ac:dyDescent="0.35">
      <c r="A136" s="111" t="str">
        <f t="shared" si="42"/>
        <v/>
      </c>
      <c r="B136" s="112"/>
      <c r="C136" s="112"/>
      <c r="D136" s="113"/>
      <c r="E136" s="50" t="str">
        <f>IFERROR(INDEX($A$3:$G$117,MATCH($J136,$J$3:$J$117,0),COLUMN(E$127)),"")</f>
        <v/>
      </c>
      <c r="F136" s="14" t="str">
        <f>IFERROR(INDEX($A$3:$G$117,MATCH($J136,$J$3:$J$117,0),COLUMN(F$127)),"")</f>
        <v/>
      </c>
      <c r="G136" s="50" t="str">
        <f>IFERROR(INDEX($A$3:$G$117,MATCH($J136,$J$3:$J$117,0),COLUMN(G$127)),"")</f>
        <v/>
      </c>
      <c r="J136" s="1">
        <f t="shared" si="43"/>
        <v>9</v>
      </c>
      <c r="K136" s="74"/>
    </row>
    <row r="137" spans="1:11" ht="45" customHeight="1" x14ac:dyDescent="0.35">
      <c r="A137" s="111" t="str">
        <f t="shared" si="42"/>
        <v/>
      </c>
      <c r="B137" s="112"/>
      <c r="C137" s="112"/>
      <c r="D137" s="113"/>
      <c r="E137" s="50" t="str">
        <f>IFERROR(INDEX($A$3:$G$117,MATCH($J137,$J$3:$J$117,0),COLUMN(E$127)),"")</f>
        <v/>
      </c>
      <c r="F137" s="14" t="str">
        <f>IFERROR(INDEX($A$3:$G$117,MATCH($J137,$J$3:$J$117,0),COLUMN(F$127)),"")</f>
        <v/>
      </c>
      <c r="G137" s="50" t="str">
        <f>IFERROR(INDEX($A$3:$G$117,MATCH($J137,$J$3:$J$117,0),COLUMN(G$127)),"")</f>
        <v/>
      </c>
      <c r="J137" s="1">
        <f t="shared" si="43"/>
        <v>10</v>
      </c>
      <c r="K137" s="74"/>
    </row>
    <row r="138" spans="1:11" ht="45" customHeight="1" x14ac:dyDescent="0.35">
      <c r="A138" s="111" t="str">
        <f t="shared" si="42"/>
        <v/>
      </c>
      <c r="B138" s="112"/>
      <c r="C138" s="112"/>
      <c r="D138" s="113"/>
      <c r="E138" s="50" t="str">
        <f>IFERROR(INDEX($A$3:$G$117,MATCH($J138,$J$3:$J$117,0),COLUMN(E$127)),"")</f>
        <v/>
      </c>
      <c r="F138" s="14" t="str">
        <f>IFERROR(INDEX($A$3:$G$117,MATCH($J138,$J$3:$J$117,0),COLUMN(F$127)),"")</f>
        <v/>
      </c>
      <c r="G138" s="50" t="str">
        <f>IFERROR(INDEX($A$3:$G$117,MATCH($J138,$J$3:$J$117,0),COLUMN(G$127)),"")</f>
        <v/>
      </c>
      <c r="J138" s="1">
        <f t="shared" si="43"/>
        <v>11</v>
      </c>
      <c r="K138" s="74"/>
    </row>
    <row r="139" spans="1:11" ht="45" customHeight="1" x14ac:dyDescent="0.35">
      <c r="A139" s="111" t="str">
        <f t="shared" si="42"/>
        <v/>
      </c>
      <c r="B139" s="112"/>
      <c r="C139" s="112"/>
      <c r="D139" s="113"/>
      <c r="E139" s="50" t="str">
        <f>IFERROR(INDEX($A$3:$G$117,MATCH($J139,$J$3:$J$117,0),COLUMN(E$127)),"")</f>
        <v/>
      </c>
      <c r="F139" s="14" t="str">
        <f>IFERROR(INDEX($A$3:$G$117,MATCH($J139,$J$3:$J$117,0),COLUMN(F$127)),"")</f>
        <v/>
      </c>
      <c r="G139" s="50" t="str">
        <f>IFERROR(INDEX($A$3:$G$117,MATCH($J139,$J$3:$J$117,0),COLUMN(G$127)),"")</f>
        <v/>
      </c>
      <c r="J139" s="1">
        <f t="shared" si="43"/>
        <v>12</v>
      </c>
      <c r="K139" s="74"/>
    </row>
    <row r="140" spans="1:11" x14ac:dyDescent="0.35">
      <c r="A140" s="56"/>
      <c r="B140" s="56"/>
      <c r="C140" s="56"/>
      <c r="D140" s="56"/>
      <c r="E140" s="93" t="s">
        <v>119</v>
      </c>
      <c r="F140" s="94"/>
      <c r="G140" s="83">
        <f>SUM(G128:G139)</f>
        <v>0</v>
      </c>
    </row>
    <row r="141" spans="1:11" x14ac:dyDescent="0.35">
      <c r="A141" s="98"/>
      <c r="B141" s="98"/>
      <c r="C141" s="98"/>
      <c r="D141" s="98"/>
    </row>
    <row r="142" spans="1:11" ht="43.5" x14ac:dyDescent="0.35">
      <c r="A142" s="12" t="str">
        <f t="shared" ref="A142:A143" si="44">A119</f>
        <v>Total Average Daily Flow (GPD)</v>
      </c>
      <c r="B142" s="49" t="str">
        <f t="shared" ref="B142:D143" si="45">B119</f>
        <v>Peak Factor</v>
      </c>
      <c r="C142" s="12" t="str">
        <f t="shared" si="45"/>
        <v>Total Peak Hour Flow (GPD)</v>
      </c>
      <c r="D142" s="49" t="str">
        <f t="shared" si="45"/>
        <v>Total Peak Hour Flow (GPM)</v>
      </c>
      <c r="E142" s="25"/>
      <c r="F142" s="38"/>
      <c r="G142" s="38"/>
      <c r="H142" s="73"/>
      <c r="I142" s="25"/>
      <c r="J142" s="25"/>
      <c r="K142" s="25"/>
    </row>
    <row r="143" spans="1:11" x14ac:dyDescent="0.35">
      <c r="A143" s="83">
        <f t="shared" si="44"/>
        <v>0</v>
      </c>
      <c r="B143" s="84">
        <f t="shared" si="45"/>
        <v>4.5</v>
      </c>
      <c r="C143" s="83">
        <f t="shared" si="45"/>
        <v>0</v>
      </c>
      <c r="D143" s="84">
        <f t="shared" si="45"/>
        <v>0</v>
      </c>
      <c r="E143" s="25"/>
      <c r="F143" s="38"/>
      <c r="G143" s="38"/>
      <c r="H143" s="73"/>
      <c r="I143" s="25"/>
      <c r="J143" s="25"/>
      <c r="K143" s="25"/>
    </row>
  </sheetData>
  <sheetProtection sheet="1" objects="1" scenarios="1"/>
  <mergeCells count="140">
    <mergeCell ref="A109:D109"/>
    <mergeCell ref="A125:G125"/>
    <mergeCell ref="A126:D126"/>
    <mergeCell ref="A141:D141"/>
    <mergeCell ref="A133:D133"/>
    <mergeCell ref="A134:D134"/>
    <mergeCell ref="A135:D135"/>
    <mergeCell ref="A136:D136"/>
    <mergeCell ref="A137:D137"/>
    <mergeCell ref="A138:D138"/>
    <mergeCell ref="A139:D139"/>
    <mergeCell ref="A127:D127"/>
    <mergeCell ref="A128:D128"/>
    <mergeCell ref="A129:D129"/>
    <mergeCell ref="A130:D130"/>
    <mergeCell ref="A13:D13"/>
    <mergeCell ref="A15:D15"/>
    <mergeCell ref="A16:D16"/>
    <mergeCell ref="A17:D17"/>
    <mergeCell ref="A18:D18"/>
    <mergeCell ref="A28:D28"/>
    <mergeCell ref="A19:D19"/>
    <mergeCell ref="A110:D110"/>
    <mergeCell ref="A113:D113"/>
    <mergeCell ref="A105:D105"/>
    <mergeCell ref="A106:D106"/>
    <mergeCell ref="A107:D107"/>
    <mergeCell ref="A108:D108"/>
    <mergeCell ref="A40:D40"/>
    <mergeCell ref="A42:D42"/>
    <mergeCell ref="A43:D43"/>
    <mergeCell ref="A44:D44"/>
    <mergeCell ref="A55:D55"/>
    <mergeCell ref="A54:D54"/>
    <mergeCell ref="A58:D58"/>
    <mergeCell ref="A57:D57"/>
    <mergeCell ref="A21:D21"/>
    <mergeCell ref="A22:D22"/>
    <mergeCell ref="A23:D23"/>
    <mergeCell ref="A2:D2"/>
    <mergeCell ref="A3:D3"/>
    <mergeCell ref="A4:D4"/>
    <mergeCell ref="A5:D5"/>
    <mergeCell ref="A7:D7"/>
    <mergeCell ref="A8:D8"/>
    <mergeCell ref="A9:D9"/>
    <mergeCell ref="A11:D11"/>
    <mergeCell ref="A12:D12"/>
    <mergeCell ref="A24:D24"/>
    <mergeCell ref="A26:D26"/>
    <mergeCell ref="A27:D27"/>
    <mergeCell ref="A56:D56"/>
    <mergeCell ref="A30:D30"/>
    <mergeCell ref="A31:D31"/>
    <mergeCell ref="A32:D32"/>
    <mergeCell ref="A33:D33"/>
    <mergeCell ref="A34:D34"/>
    <mergeCell ref="A1:G1"/>
    <mergeCell ref="A91:D91"/>
    <mergeCell ref="A92:D92"/>
    <mergeCell ref="A93:D93"/>
    <mergeCell ref="A95:D95"/>
    <mergeCell ref="A96:D96"/>
    <mergeCell ref="A97:D97"/>
    <mergeCell ref="A61:D61"/>
    <mergeCell ref="A62:D62"/>
    <mergeCell ref="A63:D63"/>
    <mergeCell ref="A66:D66"/>
    <mergeCell ref="A65:D65"/>
    <mergeCell ref="A67:D67"/>
    <mergeCell ref="A52:D52"/>
    <mergeCell ref="A68:D68"/>
    <mergeCell ref="A81:D81"/>
    <mergeCell ref="A85:D85"/>
    <mergeCell ref="A87:D87"/>
    <mergeCell ref="A88:D88"/>
    <mergeCell ref="A89:D89"/>
    <mergeCell ref="A71:D71"/>
    <mergeCell ref="A72:D72"/>
    <mergeCell ref="A73:D73"/>
    <mergeCell ref="A75:D75"/>
    <mergeCell ref="E20:F20"/>
    <mergeCell ref="E14:F14"/>
    <mergeCell ref="A29:C29"/>
    <mergeCell ref="E10:F10"/>
    <mergeCell ref="E6:F6"/>
    <mergeCell ref="E53:F53"/>
    <mergeCell ref="E59:F59"/>
    <mergeCell ref="E64:F64"/>
    <mergeCell ref="A35:C35"/>
    <mergeCell ref="E35:F35"/>
    <mergeCell ref="E29:F29"/>
    <mergeCell ref="E25:F25"/>
    <mergeCell ref="A60:D60"/>
    <mergeCell ref="A37:D37"/>
    <mergeCell ref="A45:D45"/>
    <mergeCell ref="A46:D46"/>
    <mergeCell ref="A47:D47"/>
    <mergeCell ref="A48:D48"/>
    <mergeCell ref="A49:D49"/>
    <mergeCell ref="A50:D50"/>
    <mergeCell ref="A51:D51"/>
    <mergeCell ref="A36:D36"/>
    <mergeCell ref="A38:D38"/>
    <mergeCell ref="A39:D39"/>
    <mergeCell ref="E69:F69"/>
    <mergeCell ref="A70:D70"/>
    <mergeCell ref="E74:F74"/>
    <mergeCell ref="A41:D41"/>
    <mergeCell ref="E78:F78"/>
    <mergeCell ref="A79:D79"/>
    <mergeCell ref="A80:D80"/>
    <mergeCell ref="E82:F82"/>
    <mergeCell ref="A83:D83"/>
    <mergeCell ref="A76:D76"/>
    <mergeCell ref="A77:D77"/>
    <mergeCell ref="E86:F86"/>
    <mergeCell ref="E90:F90"/>
    <mergeCell ref="E94:F94"/>
    <mergeCell ref="E98:F98"/>
    <mergeCell ref="E104:F104"/>
    <mergeCell ref="E111:F111"/>
    <mergeCell ref="A78:C78"/>
    <mergeCell ref="E117:F117"/>
    <mergeCell ref="E140:F140"/>
    <mergeCell ref="A99:D99"/>
    <mergeCell ref="A100:D100"/>
    <mergeCell ref="A101:D101"/>
    <mergeCell ref="A102:D102"/>
    <mergeCell ref="A103:D103"/>
    <mergeCell ref="A84:D84"/>
    <mergeCell ref="A115:D115"/>
    <mergeCell ref="A116:D116"/>
    <mergeCell ref="A112:D112"/>
    <mergeCell ref="A114:D114"/>
    <mergeCell ref="A118:D118"/>
    <mergeCell ref="A122:G122"/>
    <mergeCell ref="A123:G123"/>
    <mergeCell ref="A131:D131"/>
    <mergeCell ref="A132:D132"/>
  </mergeCells>
  <dataValidations disablePrompts="1" count="4">
    <dataValidation type="whole" operator="lessThanOrEqual" allowBlank="1" showInputMessage="1" showErrorMessage="1" sqref="D35" xr:uid="{00000000-0002-0000-0100-000000000000}">
      <formula1>7</formula1>
    </dataValidation>
    <dataValidation type="list" operator="lessThanOrEqual" allowBlank="1" showInputMessage="1" showErrorMessage="1" sqref="D29" xr:uid="{00000000-0002-0000-0100-000001000000}">
      <formula1>"Yes,No"</formula1>
    </dataValidation>
    <dataValidation type="whole" operator="lessThanOrEqual" allowBlank="1" showInputMessage="1" showErrorMessage="1" sqref="D78" xr:uid="{00000000-0002-0000-0100-000002000000}">
      <formula1>24</formula1>
    </dataValidation>
    <dataValidation type="whole" operator="lessThanOrEqual" allowBlank="1" showInputMessage="1" showErrorMessage="1" sqref="E109" xr:uid="{00000000-0002-0000-0100-000003000000}">
      <formula1>200</formula1>
    </dataValidation>
  </dataValidations>
  <printOptions horizontalCentered="1"/>
  <pageMargins left="0.7" right="0.7" top="0.75" bottom="0.75" header="0.3" footer="0.3"/>
  <pageSetup orientation="portrait" horizontalDpi="1200" verticalDpi="1200" r:id="rId1"/>
  <headerFooter>
    <oddFooter>&amp;L3/27/2018&amp;RCCPU Wastewater Flow Worksheets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K64"/>
  <sheetViews>
    <sheetView view="pageLayout" zoomScaleNormal="100" workbookViewId="0">
      <selection activeCell="A41" sqref="A41"/>
    </sheetView>
  </sheetViews>
  <sheetFormatPr defaultColWidth="9.08984375" defaultRowHeight="14.5" x14ac:dyDescent="0.35"/>
  <cols>
    <col min="1" max="1" width="12.6328125" style="25" customWidth="1"/>
    <col min="2" max="4" width="12.6328125" customWidth="1"/>
    <col min="5" max="5" width="7.54296875" customWidth="1"/>
    <col min="6" max="7" width="12.6328125" customWidth="1"/>
    <col min="9" max="10" width="9.08984375" hidden="1" customWidth="1"/>
    <col min="11" max="11" width="0" hidden="1" customWidth="1"/>
  </cols>
  <sheetData>
    <row r="1" spans="1:11" ht="15.5" x14ac:dyDescent="0.35">
      <c r="A1" s="92" t="s">
        <v>49</v>
      </c>
      <c r="B1" s="92"/>
      <c r="C1" s="92"/>
      <c r="D1" s="92"/>
      <c r="E1" s="92"/>
      <c r="F1" s="92"/>
      <c r="G1" s="92"/>
      <c r="I1" s="27" t="s">
        <v>44</v>
      </c>
      <c r="J1" s="27" t="s">
        <v>43</v>
      </c>
      <c r="K1" s="72" t="s">
        <v>120</v>
      </c>
    </row>
    <row r="2" spans="1:11" x14ac:dyDescent="0.35">
      <c r="I2" s="38"/>
      <c r="J2" s="38"/>
    </row>
    <row r="3" spans="1:11" ht="15" customHeight="1" x14ac:dyDescent="0.35">
      <c r="A3" s="135" t="str">
        <f>"Church, "&amp;IF(D5&gt;0,D5&amp;" regularly prepared meal"&amp;IF(D5&gt;1,"s","")&amp;" per day","including typical kitchen wastewater flows")</f>
        <v>Church, including typical kitchen wastewater flows</v>
      </c>
      <c r="B3" s="136"/>
      <c r="C3" s="136"/>
      <c r="D3" s="137"/>
      <c r="E3" s="52" t="s">
        <v>1</v>
      </c>
      <c r="F3" s="16" t="s">
        <v>36</v>
      </c>
      <c r="G3" s="52" t="s">
        <v>55</v>
      </c>
      <c r="I3" s="1">
        <f t="shared" ref="I3" si="0">IF(ISNUMBER(E3),1,0)</f>
        <v>0</v>
      </c>
      <c r="J3" s="1" t="str">
        <f>IF(I3=0,"",SUM($I$3:$I3))</f>
        <v/>
      </c>
    </row>
    <row r="4" spans="1:11" ht="15" customHeight="1" x14ac:dyDescent="0.35">
      <c r="A4" s="144" t="s">
        <v>68</v>
      </c>
      <c r="B4" s="145"/>
      <c r="C4" s="145"/>
      <c r="D4" s="146"/>
      <c r="E4" s="87"/>
      <c r="F4" s="76">
        <f>3+D5*5</f>
        <v>3</v>
      </c>
      <c r="G4" s="77">
        <f>F4*E4</f>
        <v>0</v>
      </c>
      <c r="I4" s="1">
        <f t="shared" ref="I4:I38" si="1">IF(ISNUMBER(E4),1,0)</f>
        <v>0</v>
      </c>
      <c r="J4" s="1" t="str">
        <f>IF(I4=0,"",SUM($I$3:$I4))</f>
        <v/>
      </c>
      <c r="K4" t="str">
        <f>A3</f>
        <v>Church, including typical kitchen wastewater flows</v>
      </c>
    </row>
    <row r="5" spans="1:11" x14ac:dyDescent="0.35">
      <c r="A5" s="142" t="s">
        <v>124</v>
      </c>
      <c r="B5" s="143"/>
      <c r="C5" s="143"/>
      <c r="D5" s="75"/>
      <c r="E5" s="133" t="s">
        <v>119</v>
      </c>
      <c r="F5" s="134"/>
      <c r="G5" s="69">
        <f>SUM(G4:G4)</f>
        <v>0</v>
      </c>
      <c r="I5" s="1">
        <f t="shared" si="1"/>
        <v>0</v>
      </c>
      <c r="J5" s="1" t="str">
        <f>IF(I5=0,"",SUM($I$3:$I5))</f>
        <v/>
      </c>
    </row>
    <row r="6" spans="1:11" x14ac:dyDescent="0.35">
      <c r="A6" s="98"/>
      <c r="B6" s="98"/>
      <c r="C6" s="98"/>
      <c r="D6" s="98"/>
      <c r="E6" s="53"/>
      <c r="G6" s="53"/>
      <c r="I6" s="1">
        <f t="shared" si="1"/>
        <v>0</v>
      </c>
      <c r="J6" s="1" t="str">
        <f>IF(I6=0,"",SUM($I$3:$I6))</f>
        <v/>
      </c>
    </row>
    <row r="7" spans="1:11" ht="15" customHeight="1" x14ac:dyDescent="0.35">
      <c r="A7" s="135" t="str">
        <f>"Hospital, "&amp;IF(D9&gt;0,D9&amp;" regularly prepared meal"&amp;IF(D9&gt;1,"s","")&amp;" per day","excluding kitchen wastewater flows")</f>
        <v>Hospital, excluding kitchen wastewater flows</v>
      </c>
      <c r="B7" s="136"/>
      <c r="C7" s="136"/>
      <c r="D7" s="137"/>
      <c r="E7" s="52" t="s">
        <v>1</v>
      </c>
      <c r="F7" s="16" t="s">
        <v>36</v>
      </c>
      <c r="G7" s="52" t="s">
        <v>55</v>
      </c>
      <c r="I7" s="1">
        <f t="shared" si="1"/>
        <v>0</v>
      </c>
      <c r="J7" s="1" t="str">
        <f>IF(I7=0,"",SUM($I$3:$I7))</f>
        <v/>
      </c>
    </row>
    <row r="8" spans="1:11" x14ac:dyDescent="0.35">
      <c r="A8" s="144" t="s">
        <v>121</v>
      </c>
      <c r="B8" s="145"/>
      <c r="C8" s="145"/>
      <c r="D8" s="146"/>
      <c r="E8" s="87"/>
      <c r="F8" s="76">
        <f>200+D9*5</f>
        <v>200</v>
      </c>
      <c r="G8" s="77">
        <f>F8*E8</f>
        <v>0</v>
      </c>
      <c r="I8" s="1">
        <f t="shared" si="1"/>
        <v>0</v>
      </c>
      <c r="J8" s="1" t="str">
        <f>IF(I8=0,"",SUM($I$3:$I8))</f>
        <v/>
      </c>
      <c r="K8" t="str">
        <f>A7</f>
        <v>Hospital, excluding kitchen wastewater flows</v>
      </c>
    </row>
    <row r="9" spans="1:11" x14ac:dyDescent="0.35">
      <c r="A9" s="142" t="s">
        <v>124</v>
      </c>
      <c r="B9" s="143"/>
      <c r="C9" s="143"/>
      <c r="D9" s="75"/>
      <c r="E9" s="133" t="s">
        <v>119</v>
      </c>
      <c r="F9" s="134"/>
      <c r="G9" s="69">
        <f>SUM(G8:G8)</f>
        <v>0</v>
      </c>
      <c r="I9" s="1">
        <f t="shared" si="1"/>
        <v>0</v>
      </c>
      <c r="J9" s="1" t="str">
        <f>IF(I9=0,"",SUM($I$3:$I9))</f>
        <v/>
      </c>
    </row>
    <row r="10" spans="1:11" x14ac:dyDescent="0.35">
      <c r="A10" s="98"/>
      <c r="B10" s="98"/>
      <c r="C10" s="98"/>
      <c r="D10" s="98"/>
      <c r="E10" s="53"/>
      <c r="G10" s="53"/>
      <c r="I10" s="1">
        <f t="shared" si="1"/>
        <v>0</v>
      </c>
      <c r="J10" s="1" t="str">
        <f>IF(I10=0,"",SUM($I$3:$I10))</f>
        <v/>
      </c>
    </row>
    <row r="11" spans="1:11" ht="30" customHeight="1" x14ac:dyDescent="0.35">
      <c r="A11" s="135" t="str">
        <f>"Nursing, rest home, or adult congregate living facility, "&amp;IF(D13&gt;0,D13&amp;" regularly prepared meal"&amp;IF(D13&gt;1,"s","")&amp;" per day","excluding kitchen wastewater flows")</f>
        <v>Nursing, rest home, or adult congregate living facility, excluding kitchen wastewater flows</v>
      </c>
      <c r="B11" s="136"/>
      <c r="C11" s="136"/>
      <c r="D11" s="137"/>
      <c r="E11" s="52" t="s">
        <v>1</v>
      </c>
      <c r="F11" s="16" t="s">
        <v>36</v>
      </c>
      <c r="G11" s="52" t="s">
        <v>55</v>
      </c>
      <c r="I11" s="1">
        <f t="shared" si="1"/>
        <v>0</v>
      </c>
      <c r="J11" s="1" t="str">
        <f>IF(I11=0,"",SUM($I$3:$I11))</f>
        <v/>
      </c>
    </row>
    <row r="12" spans="1:11" x14ac:dyDescent="0.35">
      <c r="A12" s="144" t="s">
        <v>121</v>
      </c>
      <c r="B12" s="145"/>
      <c r="C12" s="145"/>
      <c r="D12" s="146"/>
      <c r="E12" s="87"/>
      <c r="F12" s="76">
        <f>100+D13*5</f>
        <v>100</v>
      </c>
      <c r="G12" s="77">
        <f>F12*E12</f>
        <v>0</v>
      </c>
      <c r="I12" s="1">
        <f t="shared" si="1"/>
        <v>0</v>
      </c>
      <c r="J12" s="1" t="str">
        <f>IF(I12=0,"",SUM($I$3:$I12))</f>
        <v/>
      </c>
      <c r="K12" t="str">
        <f>A11</f>
        <v>Nursing, rest home, or adult congregate living facility, excluding kitchen wastewater flows</v>
      </c>
    </row>
    <row r="13" spans="1:11" x14ac:dyDescent="0.35">
      <c r="A13" s="142" t="s">
        <v>124</v>
      </c>
      <c r="B13" s="143"/>
      <c r="C13" s="143"/>
      <c r="D13" s="75"/>
      <c r="E13" s="133" t="s">
        <v>119</v>
      </c>
      <c r="F13" s="134"/>
      <c r="G13" s="69">
        <f>SUM(G12:G12)</f>
        <v>0</v>
      </c>
      <c r="I13" s="1">
        <f t="shared" si="1"/>
        <v>0</v>
      </c>
      <c r="J13" s="1" t="str">
        <f>IF(I13=0,"",SUM($I$3:$I13))</f>
        <v/>
      </c>
    </row>
    <row r="14" spans="1:11" x14ac:dyDescent="0.35">
      <c r="A14" s="98"/>
      <c r="B14" s="98"/>
      <c r="C14" s="98"/>
      <c r="D14" s="98"/>
      <c r="E14" s="53"/>
      <c r="G14" s="53"/>
      <c r="I14" s="1">
        <f t="shared" si="1"/>
        <v>0</v>
      </c>
      <c r="J14" s="1" t="str">
        <f>IF(I14=0,"",SUM($I$3:$I14))</f>
        <v/>
      </c>
    </row>
    <row r="15" spans="1:11" ht="15" customHeight="1" x14ac:dyDescent="0.35">
      <c r="A15" s="135" t="s">
        <v>122</v>
      </c>
      <c r="B15" s="136"/>
      <c r="C15" s="136"/>
      <c r="D15" s="137"/>
      <c r="E15" s="52" t="s">
        <v>1</v>
      </c>
      <c r="F15" s="16" t="s">
        <v>36</v>
      </c>
      <c r="G15" s="52" t="s">
        <v>55</v>
      </c>
      <c r="I15" s="1">
        <f t="shared" si="1"/>
        <v>0</v>
      </c>
      <c r="J15" s="1" t="str">
        <f>IF(I15=0,"",SUM($I$3:$I15))</f>
        <v/>
      </c>
    </row>
    <row r="16" spans="1:11" x14ac:dyDescent="0.35">
      <c r="A16" s="111" t="s">
        <v>127</v>
      </c>
      <c r="B16" s="112"/>
      <c r="C16" s="112"/>
      <c r="D16" s="113"/>
      <c r="E16" s="88"/>
      <c r="F16" s="13">
        <v>4</v>
      </c>
      <c r="G16" s="54">
        <f>F16*E16</f>
        <v>0</v>
      </c>
      <c r="I16" s="1">
        <f t="shared" si="1"/>
        <v>0</v>
      </c>
      <c r="J16" s="1" t="str">
        <f>IF(I16=0,"",SUM($I$3:$I16))</f>
        <v/>
      </c>
      <c r="K16" t="str">
        <f>A15</f>
        <v>Park, public picnic</v>
      </c>
    </row>
    <row r="17" spans="1:11" x14ac:dyDescent="0.35">
      <c r="A17" s="111" t="s">
        <v>128</v>
      </c>
      <c r="B17" s="112"/>
      <c r="C17" s="112"/>
      <c r="D17" s="113"/>
      <c r="E17" s="88"/>
      <c r="F17" s="13">
        <v>10</v>
      </c>
      <c r="G17" s="54">
        <f>F17*E17</f>
        <v>0</v>
      </c>
      <c r="I17" s="1">
        <f t="shared" si="1"/>
        <v>0</v>
      </c>
      <c r="J17" s="1" t="str">
        <f>IF(I17=0,"",SUM($I$3:$I17))</f>
        <v/>
      </c>
      <c r="K17" t="str">
        <f>K16</f>
        <v>Park, public picnic</v>
      </c>
    </row>
    <row r="18" spans="1:11" x14ac:dyDescent="0.35">
      <c r="A18" s="57"/>
      <c r="B18" s="57"/>
      <c r="C18" s="57"/>
      <c r="D18" s="57"/>
      <c r="E18" s="133" t="s">
        <v>119</v>
      </c>
      <c r="F18" s="134"/>
      <c r="G18" s="69">
        <f>SUM(G16:G17)</f>
        <v>0</v>
      </c>
      <c r="I18" s="1">
        <f t="shared" si="1"/>
        <v>0</v>
      </c>
      <c r="J18" s="1" t="str">
        <f>IF(I18=0,"",SUM($I$3:$I18))</f>
        <v/>
      </c>
    </row>
    <row r="19" spans="1:11" x14ac:dyDescent="0.35">
      <c r="A19" s="98"/>
      <c r="B19" s="98"/>
      <c r="C19" s="98"/>
      <c r="D19" s="98"/>
      <c r="E19" s="53"/>
      <c r="G19" s="53"/>
      <c r="I19" s="1">
        <f t="shared" si="1"/>
        <v>0</v>
      </c>
      <c r="J19" s="1" t="str">
        <f>IF(I19=0,"",SUM($I$3:$I19))</f>
        <v/>
      </c>
    </row>
    <row r="20" spans="1:11" ht="30" customHeight="1" x14ac:dyDescent="0.35">
      <c r="A20" s="135" t="str">
        <f>"Public institution other than school or hospital, "&amp;IF(D22&gt;0,D22&amp;" regularly prepared meal"&amp;IF(D22&gt;1,"s","")&amp;" per day","excluding kitchen wastewater flows")</f>
        <v>Public institution other than school or hospital, excluding kitchen wastewater flows</v>
      </c>
      <c r="B20" s="136"/>
      <c r="C20" s="136"/>
      <c r="D20" s="137"/>
      <c r="E20" s="52" t="s">
        <v>1</v>
      </c>
      <c r="F20" s="16" t="s">
        <v>36</v>
      </c>
      <c r="G20" s="52" t="s">
        <v>55</v>
      </c>
      <c r="I20" s="1">
        <f t="shared" si="1"/>
        <v>0</v>
      </c>
      <c r="J20" s="1" t="str">
        <f>IF(I20=0,"",SUM($I$3:$I20))</f>
        <v/>
      </c>
    </row>
    <row r="21" spans="1:11" x14ac:dyDescent="0.35">
      <c r="A21" s="144" t="s">
        <v>101</v>
      </c>
      <c r="B21" s="145"/>
      <c r="C21" s="145"/>
      <c r="D21" s="146"/>
      <c r="E21" s="87"/>
      <c r="F21" s="76">
        <f>100+D22*5</f>
        <v>100</v>
      </c>
      <c r="G21" s="77">
        <f>F21*E21</f>
        <v>0</v>
      </c>
      <c r="I21" s="1">
        <f t="shared" si="1"/>
        <v>0</v>
      </c>
      <c r="J21" s="1" t="str">
        <f>IF(I21=0,"",SUM($I$3:$I21))</f>
        <v/>
      </c>
      <c r="K21" t="str">
        <f>A20</f>
        <v>Public institution other than school or hospital, excluding kitchen wastewater flows</v>
      </c>
    </row>
    <row r="22" spans="1:11" x14ac:dyDescent="0.35">
      <c r="A22" s="142" t="s">
        <v>124</v>
      </c>
      <c r="B22" s="143"/>
      <c r="C22" s="143"/>
      <c r="D22" s="75"/>
      <c r="E22" s="133" t="s">
        <v>119</v>
      </c>
      <c r="F22" s="134"/>
      <c r="G22" s="69">
        <f>SUM(G21:G21)</f>
        <v>0</v>
      </c>
      <c r="I22" s="1">
        <f t="shared" si="1"/>
        <v>0</v>
      </c>
      <c r="J22" s="1" t="str">
        <f>IF(I22=0,"",SUM($I$3:$I22))</f>
        <v/>
      </c>
    </row>
    <row r="23" spans="1:11" x14ac:dyDescent="0.35">
      <c r="A23" s="98"/>
      <c r="B23" s="98"/>
      <c r="C23" s="98"/>
      <c r="D23" s="98"/>
      <c r="E23" s="53"/>
      <c r="G23" s="53"/>
      <c r="I23" s="1">
        <f t="shared" si="1"/>
        <v>0</v>
      </c>
      <c r="J23" s="1" t="str">
        <f>IF(I23=0,"",SUM($I$3:$I23))</f>
        <v/>
      </c>
    </row>
    <row r="24" spans="1:11" ht="15" customHeight="1" x14ac:dyDescent="0.35">
      <c r="A24" s="135" t="s">
        <v>123</v>
      </c>
      <c r="B24" s="136"/>
      <c r="C24" s="136"/>
      <c r="D24" s="137"/>
      <c r="E24" s="52" t="s">
        <v>1</v>
      </c>
      <c r="F24" s="16" t="s">
        <v>36</v>
      </c>
      <c r="G24" s="52" t="s">
        <v>55</v>
      </c>
      <c r="I24" s="1">
        <f t="shared" si="1"/>
        <v>0</v>
      </c>
      <c r="J24" s="1" t="str">
        <f>IF(I24=0,"",SUM($I$3:$I24))</f>
        <v/>
      </c>
    </row>
    <row r="25" spans="1:11" x14ac:dyDescent="0.35">
      <c r="A25" s="144" t="str">
        <f>"day type, "&amp;IF(B28="Yes","with showers, ","")&amp;IF(D28="Yes","with cafeteria, ","")&amp;"per student"</f>
        <v>day type, per student</v>
      </c>
      <c r="B25" s="145"/>
      <c r="C25" s="145"/>
      <c r="D25" s="146"/>
      <c r="E25" s="87"/>
      <c r="F25" s="76">
        <f>10+IF(B28="Yes",4,0)+IF(D28="Yes",4,0)</f>
        <v>10</v>
      </c>
      <c r="G25" s="77">
        <f>F25*E25</f>
        <v>0</v>
      </c>
      <c r="I25" s="1">
        <f t="shared" si="1"/>
        <v>0</v>
      </c>
      <c r="J25" s="1" t="str">
        <f>IF(I25=0,"",SUM($I$3:$I25))</f>
        <v/>
      </c>
      <c r="K25" t="str">
        <f>A24</f>
        <v>School</v>
      </c>
    </row>
    <row r="26" spans="1:11" x14ac:dyDescent="0.35">
      <c r="A26" s="147" t="s">
        <v>130</v>
      </c>
      <c r="B26" s="130"/>
      <c r="C26" s="130"/>
      <c r="D26" s="148"/>
      <c r="E26" s="89"/>
      <c r="F26" s="78">
        <v>15</v>
      </c>
      <c r="G26" s="79">
        <f t="shared" ref="G26" si="2">F26*E26</f>
        <v>0</v>
      </c>
      <c r="I26" s="1">
        <f t="shared" si="1"/>
        <v>0</v>
      </c>
      <c r="J26" s="1" t="str">
        <f>IF(I26=0,"",SUM($I$3:$I26))</f>
        <v/>
      </c>
      <c r="K26" t="str">
        <f>K25</f>
        <v>School</v>
      </c>
    </row>
    <row r="27" spans="1:11" x14ac:dyDescent="0.35">
      <c r="A27" s="111" t="s">
        <v>129</v>
      </c>
      <c r="B27" s="112"/>
      <c r="C27" s="112"/>
      <c r="D27" s="113"/>
      <c r="E27" s="88"/>
      <c r="F27" s="13">
        <v>75</v>
      </c>
      <c r="G27" s="54">
        <f t="shared" ref="G27" si="3">F27*E27</f>
        <v>0</v>
      </c>
      <c r="I27" s="1">
        <f t="shared" si="1"/>
        <v>0</v>
      </c>
      <c r="J27" s="1" t="str">
        <f>IF(I27=0,"",SUM($I$3:$I27))</f>
        <v/>
      </c>
      <c r="K27" t="str">
        <f>K26</f>
        <v>School</v>
      </c>
    </row>
    <row r="28" spans="1:11" x14ac:dyDescent="0.35">
      <c r="A28" s="17" t="s">
        <v>125</v>
      </c>
      <c r="B28" s="75"/>
      <c r="C28" s="17" t="s">
        <v>126</v>
      </c>
      <c r="D28" s="75"/>
      <c r="E28" s="133" t="s">
        <v>119</v>
      </c>
      <c r="F28" s="134"/>
      <c r="G28" s="69">
        <f>SUM(G25:G27)</f>
        <v>0</v>
      </c>
      <c r="I28" s="1">
        <f t="shared" si="1"/>
        <v>0</v>
      </c>
      <c r="J28" s="1" t="str">
        <f>IF(I28=0,"",SUM($I$3:$I28))</f>
        <v/>
      </c>
    </row>
    <row r="29" spans="1:11" x14ac:dyDescent="0.35">
      <c r="A29" s="138"/>
      <c r="B29" s="138"/>
      <c r="C29" s="138"/>
      <c r="D29" s="138"/>
      <c r="E29" s="53"/>
      <c r="G29" s="53"/>
      <c r="I29" s="1">
        <f t="shared" si="1"/>
        <v>0</v>
      </c>
      <c r="J29" s="1" t="str">
        <f>IF(I29=0,"",SUM($I$3:$I29))</f>
        <v/>
      </c>
    </row>
    <row r="30" spans="1:11" ht="15" customHeight="1" x14ac:dyDescent="0.35">
      <c r="A30" s="135" t="s">
        <v>131</v>
      </c>
      <c r="B30" s="136"/>
      <c r="C30" s="136"/>
      <c r="D30" s="137"/>
      <c r="E30" s="52" t="s">
        <v>1</v>
      </c>
      <c r="F30" s="16" t="s">
        <v>36</v>
      </c>
      <c r="G30" s="52" t="s">
        <v>55</v>
      </c>
      <c r="I30" s="1">
        <f t="shared" si="1"/>
        <v>0</v>
      </c>
      <c r="J30" s="1" t="str">
        <f>IF(I30=0,"",SUM($I$3:$I30))</f>
        <v/>
      </c>
    </row>
    <row r="31" spans="1:11" x14ac:dyDescent="0.35">
      <c r="A31" s="111" t="s">
        <v>132</v>
      </c>
      <c r="B31" s="112"/>
      <c r="C31" s="112"/>
      <c r="D31" s="113"/>
      <c r="E31" s="88"/>
      <c r="F31" s="13">
        <v>50</v>
      </c>
      <c r="G31" s="54">
        <f>F31*E31</f>
        <v>0</v>
      </c>
      <c r="I31" s="1">
        <f t="shared" si="1"/>
        <v>0</v>
      </c>
      <c r="J31" s="1" t="str">
        <f>IF(I31=0,"",SUM($I$3:$I31))</f>
        <v/>
      </c>
      <c r="K31" t="str">
        <f>A30</f>
        <v>Work/construction camps, semi-permanent</v>
      </c>
    </row>
    <row r="32" spans="1:11" x14ac:dyDescent="0.35">
      <c r="A32" s="57"/>
      <c r="B32" s="57"/>
      <c r="C32" s="57"/>
      <c r="D32" s="57"/>
      <c r="E32" s="133" t="s">
        <v>119</v>
      </c>
      <c r="F32" s="134"/>
      <c r="G32" s="69">
        <f>G31</f>
        <v>0</v>
      </c>
      <c r="I32" s="1">
        <f t="shared" si="1"/>
        <v>0</v>
      </c>
      <c r="J32" s="1" t="str">
        <f>IF(I32=0,"",SUM($I$3:$I32))</f>
        <v/>
      </c>
    </row>
    <row r="33" spans="1:11" x14ac:dyDescent="0.35">
      <c r="A33" s="98"/>
      <c r="B33" s="98"/>
      <c r="C33" s="98"/>
      <c r="D33" s="98"/>
      <c r="E33" s="53"/>
      <c r="G33" s="53"/>
      <c r="I33" s="1">
        <f t="shared" si="1"/>
        <v>0</v>
      </c>
      <c r="J33" s="1" t="str">
        <f>IF(I33=0,"",SUM($I$3:$I33))</f>
        <v/>
      </c>
    </row>
    <row r="34" spans="1:11" ht="15" customHeight="1" x14ac:dyDescent="0.35">
      <c r="A34" s="135" t="s">
        <v>21</v>
      </c>
      <c r="B34" s="136"/>
      <c r="C34" s="136"/>
      <c r="D34" s="137"/>
      <c r="E34" s="52" t="s">
        <v>1</v>
      </c>
      <c r="F34" s="19" t="s">
        <v>36</v>
      </c>
      <c r="G34" s="52" t="s">
        <v>55</v>
      </c>
      <c r="I34" s="1">
        <f t="shared" si="1"/>
        <v>0</v>
      </c>
      <c r="J34" s="1" t="str">
        <f>IF(I34=0,"",SUM($I$3:$I34))</f>
        <v/>
      </c>
    </row>
    <row r="35" spans="1:11" ht="30" customHeight="1" x14ac:dyDescent="0.35">
      <c r="A35" s="139"/>
      <c r="B35" s="140"/>
      <c r="C35" s="140"/>
      <c r="D35" s="141"/>
      <c r="E35" s="89"/>
      <c r="F35" s="90"/>
      <c r="G35" s="55">
        <f t="shared" ref="G35" si="4">F35*E35</f>
        <v>0</v>
      </c>
      <c r="I35" s="1">
        <f t="shared" si="1"/>
        <v>0</v>
      </c>
      <c r="J35" s="1" t="str">
        <f>IF(I35=0,"",SUM($I$3:$I35))</f>
        <v/>
      </c>
      <c r="K35" t="str">
        <f>A34</f>
        <v>Other</v>
      </c>
    </row>
    <row r="36" spans="1:11" ht="30" customHeight="1" x14ac:dyDescent="0.35">
      <c r="A36" s="139"/>
      <c r="B36" s="140"/>
      <c r="C36" s="140"/>
      <c r="D36" s="141"/>
      <c r="E36" s="89"/>
      <c r="F36" s="90"/>
      <c r="G36" s="55">
        <f t="shared" ref="G36:G37" si="5">F36*E36</f>
        <v>0</v>
      </c>
      <c r="I36" s="1">
        <f t="shared" si="1"/>
        <v>0</v>
      </c>
      <c r="J36" s="1" t="str">
        <f>IF(I36=0,"",SUM($I$3:$I36))</f>
        <v/>
      </c>
      <c r="K36" t="str">
        <f>K35</f>
        <v>Other</v>
      </c>
    </row>
    <row r="37" spans="1:11" ht="30" customHeight="1" x14ac:dyDescent="0.35">
      <c r="A37" s="139"/>
      <c r="B37" s="140"/>
      <c r="C37" s="140"/>
      <c r="D37" s="141"/>
      <c r="E37" s="89"/>
      <c r="F37" s="90"/>
      <c r="G37" s="55">
        <f t="shared" si="5"/>
        <v>0</v>
      </c>
      <c r="I37" s="1">
        <f t="shared" si="1"/>
        <v>0</v>
      </c>
      <c r="J37" s="1" t="str">
        <f>IF(I37=0,"",SUM($I$3:$I37))</f>
        <v/>
      </c>
      <c r="K37" t="str">
        <f>K36</f>
        <v>Other</v>
      </c>
    </row>
    <row r="38" spans="1:11" x14ac:dyDescent="0.35">
      <c r="A38" s="57"/>
      <c r="B38" s="57"/>
      <c r="C38" s="57"/>
      <c r="D38" s="57"/>
      <c r="E38" s="133" t="s">
        <v>119</v>
      </c>
      <c r="F38" s="134"/>
      <c r="G38" s="80">
        <f>SUM(G35:G37)</f>
        <v>0</v>
      </c>
      <c r="I38" s="1">
        <f t="shared" si="1"/>
        <v>0</v>
      </c>
      <c r="J38" s="1" t="str">
        <f>IF(I38=0,"",SUM($I$3:$I38))</f>
        <v/>
      </c>
    </row>
    <row r="39" spans="1:11" x14ac:dyDescent="0.35">
      <c r="A39" s="91"/>
      <c r="B39" s="91"/>
      <c r="C39" s="91"/>
      <c r="D39" s="91"/>
      <c r="E39" s="53"/>
    </row>
    <row r="40" spans="1:11" ht="43.5" x14ac:dyDescent="0.35">
      <c r="A40" s="17" t="s">
        <v>118</v>
      </c>
      <c r="B40" s="17" t="s">
        <v>20</v>
      </c>
      <c r="C40" s="17" t="s">
        <v>22</v>
      </c>
      <c r="D40" s="17" t="s">
        <v>23</v>
      </c>
    </row>
    <row r="41" spans="1:11" x14ac:dyDescent="0.35">
      <c r="A41" s="81">
        <f>G38+G32+G28+G22+G18+G13+G9+G5</f>
        <v>0</v>
      </c>
      <c r="B41" s="82">
        <f>(18+((A41/Residential!E4)/1000)^0.5)/(4+((A41/Residential!E4)/1000)^0.5)</f>
        <v>4.5</v>
      </c>
      <c r="C41" s="81">
        <f>B41*A41</f>
        <v>0</v>
      </c>
      <c r="D41" s="85">
        <f>C41/1440</f>
        <v>0</v>
      </c>
    </row>
    <row r="43" spans="1:11" ht="15" thickBot="1" x14ac:dyDescent="0.4">
      <c r="A43" s="109" t="s">
        <v>46</v>
      </c>
      <c r="B43" s="109"/>
      <c r="C43" s="109"/>
      <c r="D43" s="109"/>
      <c r="E43" s="109"/>
      <c r="F43" s="109"/>
      <c r="G43" s="109"/>
      <c r="H43" s="25"/>
      <c r="I43" s="38"/>
      <c r="J43" s="38"/>
    </row>
    <row r="44" spans="1:11" x14ac:dyDescent="0.35">
      <c r="A44" s="110" t="s">
        <v>45</v>
      </c>
      <c r="B44" s="110"/>
      <c r="C44" s="110"/>
      <c r="D44" s="110"/>
      <c r="E44" s="110"/>
      <c r="F44" s="110"/>
      <c r="G44" s="110"/>
      <c r="H44" s="25"/>
      <c r="I44" s="38"/>
      <c r="J44" s="38"/>
    </row>
    <row r="45" spans="1:11" x14ac:dyDescent="0.35">
      <c r="B45" s="25"/>
      <c r="C45" s="25"/>
      <c r="D45" s="25"/>
      <c r="E45" s="25"/>
      <c r="F45" s="25"/>
      <c r="G45" s="25"/>
      <c r="H45" s="25"/>
      <c r="I45" s="38"/>
      <c r="J45" s="38"/>
    </row>
    <row r="46" spans="1:11" ht="15.75" customHeight="1" x14ac:dyDescent="0.35">
      <c r="A46" s="92" t="s">
        <v>49</v>
      </c>
      <c r="B46" s="92"/>
      <c r="C46" s="92"/>
      <c r="D46" s="92"/>
      <c r="E46" s="92"/>
      <c r="F46" s="92"/>
      <c r="G46" s="92"/>
      <c r="H46" s="28"/>
      <c r="I46" s="27"/>
      <c r="J46" s="27" t="s">
        <v>43</v>
      </c>
    </row>
    <row r="47" spans="1:11" x14ac:dyDescent="0.35">
      <c r="A47" s="98"/>
      <c r="B47" s="98"/>
      <c r="C47" s="98"/>
      <c r="D47" s="98"/>
      <c r="E47" s="25"/>
      <c r="F47" s="25"/>
      <c r="G47" s="25"/>
      <c r="H47" s="25"/>
      <c r="I47" s="38"/>
      <c r="J47" s="38"/>
    </row>
    <row r="48" spans="1:11" x14ac:dyDescent="0.35">
      <c r="A48" s="149" t="s">
        <v>0</v>
      </c>
      <c r="B48" s="149"/>
      <c r="C48" s="149"/>
      <c r="D48" s="149"/>
      <c r="E48" s="39" t="s">
        <v>1</v>
      </c>
      <c r="F48" s="39" t="s">
        <v>36</v>
      </c>
      <c r="G48" s="39" t="s">
        <v>55</v>
      </c>
      <c r="H48" s="25"/>
      <c r="I48" s="38"/>
      <c r="J48" s="38"/>
    </row>
    <row r="49" spans="1:10" ht="45" customHeight="1" x14ac:dyDescent="0.35">
      <c r="A49" s="111" t="str">
        <f>IFERROR(INDEX($K$3:$K$38,MATCH($J49,$J$3:$J$38,0))&amp;", "&amp;INDEX($A$3:$G$38,MATCH($J49,$J$3:$J$38,0),COLUMN(A$48)),"")</f>
        <v/>
      </c>
      <c r="B49" s="112"/>
      <c r="C49" s="112"/>
      <c r="D49" s="113"/>
      <c r="E49" s="50" t="str">
        <f t="shared" ref="E49:G60" si="6">IFERROR(INDEX($A$3:$G$38,MATCH($J49,$J$3:$J$38,0),COLUMN(E$48)),"")</f>
        <v/>
      </c>
      <c r="F49" s="14" t="str">
        <f t="shared" si="6"/>
        <v/>
      </c>
      <c r="G49" s="50" t="str">
        <f t="shared" si="6"/>
        <v/>
      </c>
      <c r="H49" s="25"/>
      <c r="I49" s="38"/>
      <c r="J49" s="1">
        <v>1</v>
      </c>
    </row>
    <row r="50" spans="1:10" ht="45" customHeight="1" x14ac:dyDescent="0.35">
      <c r="A50" s="111" t="str">
        <f t="shared" ref="A50:A60" si="7">IFERROR(INDEX($K$3:$K$38,MATCH($J50,$J$3:$J$38,0))&amp;", "&amp;INDEX($A$3:$G$38,MATCH($J50,$J$3:$J$38,0),COLUMN(A$48)),"")</f>
        <v/>
      </c>
      <c r="B50" s="112"/>
      <c r="C50" s="112"/>
      <c r="D50" s="113"/>
      <c r="E50" s="50" t="str">
        <f t="shared" si="6"/>
        <v/>
      </c>
      <c r="F50" s="14" t="str">
        <f t="shared" si="6"/>
        <v/>
      </c>
      <c r="G50" s="50" t="str">
        <f t="shared" si="6"/>
        <v/>
      </c>
      <c r="H50" s="25"/>
      <c r="I50" s="38"/>
      <c r="J50" s="1">
        <f t="shared" ref="J50:J60" si="8">J49+1</f>
        <v>2</v>
      </c>
    </row>
    <row r="51" spans="1:10" ht="45" customHeight="1" x14ac:dyDescent="0.35">
      <c r="A51" s="111" t="str">
        <f t="shared" si="7"/>
        <v/>
      </c>
      <c r="B51" s="112"/>
      <c r="C51" s="112"/>
      <c r="D51" s="113"/>
      <c r="E51" s="50" t="str">
        <f t="shared" si="6"/>
        <v/>
      </c>
      <c r="F51" s="14" t="str">
        <f t="shared" si="6"/>
        <v/>
      </c>
      <c r="G51" s="50" t="str">
        <f t="shared" si="6"/>
        <v/>
      </c>
      <c r="H51" s="25"/>
      <c r="I51" s="38"/>
      <c r="J51" s="1">
        <f t="shared" si="8"/>
        <v>3</v>
      </c>
    </row>
    <row r="52" spans="1:10" ht="45" customHeight="1" x14ac:dyDescent="0.35">
      <c r="A52" s="111" t="str">
        <f t="shared" si="7"/>
        <v/>
      </c>
      <c r="B52" s="112"/>
      <c r="C52" s="112"/>
      <c r="D52" s="113"/>
      <c r="E52" s="50" t="str">
        <f t="shared" si="6"/>
        <v/>
      </c>
      <c r="F52" s="14" t="str">
        <f t="shared" si="6"/>
        <v/>
      </c>
      <c r="G52" s="50" t="str">
        <f t="shared" si="6"/>
        <v/>
      </c>
      <c r="H52" s="25"/>
      <c r="I52" s="38"/>
      <c r="J52" s="1">
        <f t="shared" si="8"/>
        <v>4</v>
      </c>
    </row>
    <row r="53" spans="1:10" ht="45" customHeight="1" x14ac:dyDescent="0.35">
      <c r="A53" s="111" t="str">
        <f t="shared" si="7"/>
        <v/>
      </c>
      <c r="B53" s="112"/>
      <c r="C53" s="112"/>
      <c r="D53" s="113"/>
      <c r="E53" s="50" t="str">
        <f t="shared" si="6"/>
        <v/>
      </c>
      <c r="F53" s="14" t="str">
        <f t="shared" si="6"/>
        <v/>
      </c>
      <c r="G53" s="50" t="str">
        <f t="shared" si="6"/>
        <v/>
      </c>
      <c r="H53" s="25"/>
      <c r="I53" s="38"/>
      <c r="J53" s="1">
        <f t="shared" si="8"/>
        <v>5</v>
      </c>
    </row>
    <row r="54" spans="1:10" ht="45" customHeight="1" x14ac:dyDescent="0.35">
      <c r="A54" s="111" t="str">
        <f t="shared" si="7"/>
        <v/>
      </c>
      <c r="B54" s="112"/>
      <c r="C54" s="112"/>
      <c r="D54" s="113"/>
      <c r="E54" s="50" t="str">
        <f t="shared" si="6"/>
        <v/>
      </c>
      <c r="F54" s="14" t="str">
        <f t="shared" si="6"/>
        <v/>
      </c>
      <c r="G54" s="50" t="str">
        <f t="shared" si="6"/>
        <v/>
      </c>
      <c r="H54" s="25"/>
      <c r="I54" s="38"/>
      <c r="J54" s="1">
        <f t="shared" si="8"/>
        <v>6</v>
      </c>
    </row>
    <row r="55" spans="1:10" ht="45" customHeight="1" x14ac:dyDescent="0.35">
      <c r="A55" s="111" t="str">
        <f t="shared" si="7"/>
        <v/>
      </c>
      <c r="B55" s="112"/>
      <c r="C55" s="112"/>
      <c r="D55" s="113"/>
      <c r="E55" s="50" t="str">
        <f t="shared" si="6"/>
        <v/>
      </c>
      <c r="F55" s="14" t="str">
        <f t="shared" si="6"/>
        <v/>
      </c>
      <c r="G55" s="50" t="str">
        <f t="shared" si="6"/>
        <v/>
      </c>
      <c r="H55" s="25"/>
      <c r="I55" s="38"/>
      <c r="J55" s="1">
        <f t="shared" si="8"/>
        <v>7</v>
      </c>
    </row>
    <row r="56" spans="1:10" ht="45" customHeight="1" x14ac:dyDescent="0.35">
      <c r="A56" s="111" t="str">
        <f t="shared" si="7"/>
        <v/>
      </c>
      <c r="B56" s="112"/>
      <c r="C56" s="112"/>
      <c r="D56" s="113"/>
      <c r="E56" s="50" t="str">
        <f t="shared" si="6"/>
        <v/>
      </c>
      <c r="F56" s="14" t="str">
        <f t="shared" si="6"/>
        <v/>
      </c>
      <c r="G56" s="50" t="str">
        <f t="shared" si="6"/>
        <v/>
      </c>
      <c r="H56" s="25"/>
      <c r="I56" s="38"/>
      <c r="J56" s="1">
        <f t="shared" si="8"/>
        <v>8</v>
      </c>
    </row>
    <row r="57" spans="1:10" ht="45" customHeight="1" x14ac:dyDescent="0.35">
      <c r="A57" s="111" t="str">
        <f t="shared" si="7"/>
        <v/>
      </c>
      <c r="B57" s="112"/>
      <c r="C57" s="112"/>
      <c r="D57" s="113"/>
      <c r="E57" s="50" t="str">
        <f t="shared" si="6"/>
        <v/>
      </c>
      <c r="F57" s="14" t="str">
        <f t="shared" si="6"/>
        <v/>
      </c>
      <c r="G57" s="50" t="str">
        <f t="shared" si="6"/>
        <v/>
      </c>
      <c r="H57" s="25"/>
      <c r="I57" s="38"/>
      <c r="J57" s="1">
        <f t="shared" si="8"/>
        <v>9</v>
      </c>
    </row>
    <row r="58" spans="1:10" ht="45" customHeight="1" x14ac:dyDescent="0.35">
      <c r="A58" s="111" t="str">
        <f t="shared" si="7"/>
        <v/>
      </c>
      <c r="B58" s="112"/>
      <c r="C58" s="112"/>
      <c r="D58" s="113"/>
      <c r="E58" s="50" t="str">
        <f t="shared" si="6"/>
        <v/>
      </c>
      <c r="F58" s="14" t="str">
        <f t="shared" si="6"/>
        <v/>
      </c>
      <c r="G58" s="50" t="str">
        <f t="shared" si="6"/>
        <v/>
      </c>
      <c r="H58" s="25"/>
      <c r="I58" s="38"/>
      <c r="J58" s="1">
        <f t="shared" si="8"/>
        <v>10</v>
      </c>
    </row>
    <row r="59" spans="1:10" ht="45" customHeight="1" x14ac:dyDescent="0.35">
      <c r="A59" s="111" t="str">
        <f t="shared" si="7"/>
        <v/>
      </c>
      <c r="B59" s="112"/>
      <c r="C59" s="112"/>
      <c r="D59" s="113"/>
      <c r="E59" s="50" t="str">
        <f t="shared" si="6"/>
        <v/>
      </c>
      <c r="F59" s="14" t="str">
        <f t="shared" si="6"/>
        <v/>
      </c>
      <c r="G59" s="50" t="str">
        <f t="shared" si="6"/>
        <v/>
      </c>
      <c r="H59" s="25"/>
      <c r="I59" s="38"/>
      <c r="J59" s="1">
        <f t="shared" si="8"/>
        <v>11</v>
      </c>
    </row>
    <row r="60" spans="1:10" ht="45" customHeight="1" x14ac:dyDescent="0.35">
      <c r="A60" s="111" t="str">
        <f t="shared" si="7"/>
        <v/>
      </c>
      <c r="B60" s="112"/>
      <c r="C60" s="112"/>
      <c r="D60" s="113"/>
      <c r="E60" s="50" t="str">
        <f t="shared" si="6"/>
        <v/>
      </c>
      <c r="F60" s="14" t="str">
        <f t="shared" si="6"/>
        <v/>
      </c>
      <c r="G60" s="50" t="str">
        <f t="shared" si="6"/>
        <v/>
      </c>
      <c r="H60" s="25"/>
      <c r="I60" s="38"/>
      <c r="J60" s="1">
        <f t="shared" si="8"/>
        <v>12</v>
      </c>
    </row>
    <row r="61" spans="1:10" x14ac:dyDescent="0.35">
      <c r="A61" s="57"/>
      <c r="B61" s="57"/>
      <c r="C61" s="57"/>
      <c r="D61" s="57"/>
      <c r="E61" s="133" t="s">
        <v>119</v>
      </c>
      <c r="F61" s="134"/>
      <c r="G61" s="83">
        <f>SUM(G49:G60)</f>
        <v>0</v>
      </c>
      <c r="H61" s="25"/>
      <c r="I61" s="38"/>
      <c r="J61" s="38"/>
    </row>
    <row r="62" spans="1:10" x14ac:dyDescent="0.35">
      <c r="A62" s="98"/>
      <c r="B62" s="98"/>
      <c r="C62" s="98"/>
      <c r="D62" s="98"/>
      <c r="E62" s="53"/>
      <c r="G62" s="25"/>
      <c r="H62" s="25"/>
      <c r="I62" s="38"/>
      <c r="J62" s="38"/>
    </row>
    <row r="63" spans="1:10" ht="43.5" x14ac:dyDescent="0.35">
      <c r="A63" s="18" t="str">
        <f t="shared" ref="A63:A64" si="9">A40</f>
        <v>Total Average Daily Flow (GPD)</v>
      </c>
      <c r="B63" s="18" t="str">
        <f t="shared" ref="B63:D64" si="10">B40</f>
        <v>Peak Factor</v>
      </c>
      <c r="C63" s="18" t="str">
        <f t="shared" si="10"/>
        <v>Total Peak Hour Flow (GPD)</v>
      </c>
      <c r="D63" s="17" t="str">
        <f t="shared" si="10"/>
        <v>Total Peak Hour Flow (GPM)</v>
      </c>
      <c r="E63" s="25"/>
      <c r="F63" s="38"/>
      <c r="G63" s="38"/>
    </row>
    <row r="64" spans="1:10" x14ac:dyDescent="0.35">
      <c r="A64" s="81">
        <f t="shared" si="9"/>
        <v>0</v>
      </c>
      <c r="B64" s="82">
        <f t="shared" si="10"/>
        <v>4.5</v>
      </c>
      <c r="C64" s="81">
        <f t="shared" si="10"/>
        <v>0</v>
      </c>
      <c r="D64" s="85">
        <f t="shared" si="10"/>
        <v>0</v>
      </c>
      <c r="E64" s="25"/>
      <c r="F64" s="38"/>
      <c r="G64" s="38"/>
    </row>
  </sheetData>
  <sheetProtection sheet="1" objects="1" scenarios="1"/>
  <mergeCells count="61">
    <mergeCell ref="A57:D57"/>
    <mergeCell ref="A58:D58"/>
    <mergeCell ref="A59:D59"/>
    <mergeCell ref="A60:D60"/>
    <mergeCell ref="A62:D62"/>
    <mergeCell ref="A48:D48"/>
    <mergeCell ref="A53:D53"/>
    <mergeCell ref="A54:D54"/>
    <mergeCell ref="A55:D55"/>
    <mergeCell ref="A56:D56"/>
    <mergeCell ref="A37:D37"/>
    <mergeCell ref="A43:G43"/>
    <mergeCell ref="A44:G44"/>
    <mergeCell ref="A46:G46"/>
    <mergeCell ref="A47:D47"/>
    <mergeCell ref="A27:D27"/>
    <mergeCell ref="A19:D19"/>
    <mergeCell ref="A20:D20"/>
    <mergeCell ref="A21:D21"/>
    <mergeCell ref="A1:G1"/>
    <mergeCell ref="A3:D3"/>
    <mergeCell ref="A4:D4"/>
    <mergeCell ref="E5:F5"/>
    <mergeCell ref="A6:D6"/>
    <mergeCell ref="A7:D7"/>
    <mergeCell ref="A8:D8"/>
    <mergeCell ref="A11:D11"/>
    <mergeCell ref="A10:D10"/>
    <mergeCell ref="A14:D14"/>
    <mergeCell ref="A15:D15"/>
    <mergeCell ref="A16:D16"/>
    <mergeCell ref="A23:D23"/>
    <mergeCell ref="A24:D24"/>
    <mergeCell ref="A25:D25"/>
    <mergeCell ref="A17:D17"/>
    <mergeCell ref="A26:D26"/>
    <mergeCell ref="E9:F9"/>
    <mergeCell ref="E13:F13"/>
    <mergeCell ref="E18:F18"/>
    <mergeCell ref="E22:F22"/>
    <mergeCell ref="A5:C5"/>
    <mergeCell ref="A9:C9"/>
    <mergeCell ref="A13:C13"/>
    <mergeCell ref="A22:C22"/>
    <mergeCell ref="A12:D12"/>
    <mergeCell ref="E28:F28"/>
    <mergeCell ref="E32:F32"/>
    <mergeCell ref="E38:F38"/>
    <mergeCell ref="A39:D39"/>
    <mergeCell ref="E61:F61"/>
    <mergeCell ref="A30:D30"/>
    <mergeCell ref="A49:D49"/>
    <mergeCell ref="A50:D50"/>
    <mergeCell ref="A51:D51"/>
    <mergeCell ref="A52:D52"/>
    <mergeCell ref="A29:D29"/>
    <mergeCell ref="A31:D31"/>
    <mergeCell ref="A33:D33"/>
    <mergeCell ref="A34:D34"/>
    <mergeCell ref="A35:D35"/>
    <mergeCell ref="A36:D36"/>
  </mergeCells>
  <dataValidations count="2">
    <dataValidation type="whole" operator="lessThanOrEqual" allowBlank="1" showInputMessage="1" showErrorMessage="1" sqref="D5 D9 D13 D22" xr:uid="{00000000-0002-0000-0200-000000000000}">
      <formula1>3</formula1>
    </dataValidation>
    <dataValidation type="list" allowBlank="1" showInputMessage="1" showErrorMessage="1" sqref="B28 D28" xr:uid="{00000000-0002-0000-0200-000001000000}">
      <formula1>"Yes,No"</formula1>
    </dataValidation>
  </dataValidations>
  <printOptions horizontalCentered="1"/>
  <pageMargins left="0.7" right="0.7" top="0.75" bottom="0.75" header="0.3" footer="0.3"/>
  <pageSetup orientation="portrait" horizontalDpi="1200" verticalDpi="1200" r:id="rId1"/>
  <headerFooter>
    <oddFooter>&amp;L3/27/2018&amp;RCCPU Wastewater Flow Worksheets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G20"/>
  <sheetViews>
    <sheetView view="pageLayout" zoomScaleNormal="100" workbookViewId="0">
      <selection sqref="A1:G1"/>
    </sheetView>
  </sheetViews>
  <sheetFormatPr defaultColWidth="9.08984375" defaultRowHeight="14.5" x14ac:dyDescent="0.35"/>
  <cols>
    <col min="1" max="1" width="14.08984375" customWidth="1"/>
    <col min="2" max="7" width="12.90625" customWidth="1"/>
  </cols>
  <sheetData>
    <row r="1" spans="1:7" ht="15.5" x14ac:dyDescent="0.35">
      <c r="A1" s="92" t="s">
        <v>50</v>
      </c>
      <c r="B1" s="92"/>
      <c r="C1" s="92"/>
      <c r="D1" s="92"/>
      <c r="E1" s="92"/>
      <c r="F1" s="92"/>
      <c r="G1" s="92"/>
    </row>
    <row r="3" spans="1:7" ht="62" customHeight="1" x14ac:dyDescent="0.35">
      <c r="A3" s="35" t="s">
        <v>26</v>
      </c>
      <c r="B3" s="35" t="s">
        <v>27</v>
      </c>
      <c r="C3" s="35" t="s">
        <v>28</v>
      </c>
      <c r="D3" s="35" t="s">
        <v>29</v>
      </c>
      <c r="E3" s="35" t="s">
        <v>30</v>
      </c>
      <c r="F3" s="35" t="s">
        <v>31</v>
      </c>
      <c r="G3" s="35" t="s">
        <v>32</v>
      </c>
    </row>
    <row r="4" spans="1:7" x14ac:dyDescent="0.35">
      <c r="A4" s="31" t="s">
        <v>37</v>
      </c>
      <c r="B4" s="40">
        <f>Residential!B4</f>
        <v>0</v>
      </c>
      <c r="C4" s="31">
        <f>Residential!C4</f>
        <v>2.5</v>
      </c>
      <c r="D4" s="40">
        <f>C4*B4</f>
        <v>0</v>
      </c>
      <c r="E4" s="40">
        <f>Residential!E4</f>
        <v>100</v>
      </c>
      <c r="F4" s="40">
        <f>E4*D4</f>
        <v>0</v>
      </c>
      <c r="G4" s="40">
        <f>$C$18*F4/24/60</f>
        <v>0</v>
      </c>
    </row>
    <row r="5" spans="1:7" x14ac:dyDescent="0.35">
      <c r="A5" s="31" t="s">
        <v>38</v>
      </c>
      <c r="B5" s="36"/>
      <c r="C5" s="36"/>
      <c r="D5" s="40">
        <f>F5/E5</f>
        <v>0</v>
      </c>
      <c r="E5" s="40">
        <f>Residential!E4</f>
        <v>100</v>
      </c>
      <c r="F5" s="40">
        <f>Commercial!A120</f>
        <v>0</v>
      </c>
      <c r="G5" s="40">
        <f t="shared" ref="G5:G6" si="0">$C$18*F5/24/60</f>
        <v>0</v>
      </c>
    </row>
    <row r="6" spans="1:7" x14ac:dyDescent="0.35">
      <c r="A6" s="31" t="s">
        <v>39</v>
      </c>
      <c r="B6" s="36"/>
      <c r="C6" s="36"/>
      <c r="D6" s="40">
        <f>F6/E6</f>
        <v>0</v>
      </c>
      <c r="E6" s="40">
        <f>Residential!E4</f>
        <v>100</v>
      </c>
      <c r="F6" s="40">
        <f>Institutional!A41</f>
        <v>0</v>
      </c>
      <c r="G6" s="40">
        <f t="shared" si="0"/>
        <v>0</v>
      </c>
    </row>
    <row r="7" spans="1:7" x14ac:dyDescent="0.35">
      <c r="A7" s="150" t="s">
        <v>2</v>
      </c>
      <c r="B7" s="150"/>
      <c r="C7" s="150"/>
      <c r="D7" s="41">
        <f>SUM(D4:D6)</f>
        <v>0</v>
      </c>
      <c r="E7" s="42">
        <f>Residential!E4</f>
        <v>100</v>
      </c>
      <c r="F7" s="41">
        <f>SUM(F4:F6)</f>
        <v>0</v>
      </c>
      <c r="G7" s="41">
        <f>SUM(G4:G6)</f>
        <v>0</v>
      </c>
    </row>
    <row r="9" spans="1:7" x14ac:dyDescent="0.35">
      <c r="A9" s="91" t="s">
        <v>34</v>
      </c>
      <c r="B9" s="91"/>
      <c r="C9" s="91"/>
      <c r="D9" s="91"/>
      <c r="E9" s="91"/>
      <c r="F9" s="91"/>
      <c r="G9" s="91"/>
    </row>
    <row r="10" spans="1:7" x14ac:dyDescent="0.35">
      <c r="A10" s="91"/>
      <c r="B10" s="91"/>
      <c r="C10" s="91"/>
      <c r="D10" s="91"/>
      <c r="E10" s="91"/>
      <c r="F10" s="91"/>
      <c r="G10" s="91"/>
    </row>
    <row r="12" spans="1:7" ht="15" customHeight="1" x14ac:dyDescent="0.35">
      <c r="A12" t="s">
        <v>40</v>
      </c>
      <c r="B12" s="25"/>
      <c r="C12" s="25"/>
      <c r="D12" s="25"/>
      <c r="E12" s="25"/>
      <c r="F12" s="25"/>
      <c r="G12" s="25"/>
    </row>
    <row r="14" spans="1:7" ht="16.5" x14ac:dyDescent="0.35">
      <c r="A14" s="3"/>
      <c r="B14" s="37" t="s">
        <v>41</v>
      </c>
      <c r="C14" s="6" t="s">
        <v>5</v>
      </c>
    </row>
    <row r="15" spans="1:7" ht="16.5" x14ac:dyDescent="0.35">
      <c r="A15" s="4"/>
      <c r="B15" s="33"/>
      <c r="C15" s="7" t="s">
        <v>6</v>
      </c>
    </row>
    <row r="16" spans="1:7" x14ac:dyDescent="0.35">
      <c r="A16" s="4"/>
      <c r="B16" s="33" t="s">
        <v>3</v>
      </c>
      <c r="C16" s="44">
        <f>D7/1000</f>
        <v>0</v>
      </c>
      <c r="D16" t="s">
        <v>35</v>
      </c>
    </row>
    <row r="17" spans="1:3" ht="15" thickBot="1" x14ac:dyDescent="0.4">
      <c r="A17" s="4"/>
      <c r="B17" s="33"/>
      <c r="C17" s="7"/>
    </row>
    <row r="18" spans="1:3" ht="15" thickBot="1" x14ac:dyDescent="0.4">
      <c r="A18" s="4"/>
      <c r="B18" s="34" t="s">
        <v>4</v>
      </c>
      <c r="C18" s="8">
        <f>(18+(C16)^0.5)/(4+(C16)^0.5)</f>
        <v>4.5</v>
      </c>
    </row>
    <row r="19" spans="1:3" x14ac:dyDescent="0.35">
      <c r="A19" s="4"/>
      <c r="B19" s="4"/>
      <c r="C19" s="5"/>
    </row>
    <row r="20" spans="1:3" x14ac:dyDescent="0.35">
      <c r="B20" t="s">
        <v>42</v>
      </c>
    </row>
  </sheetData>
  <sheetProtection sheet="1" objects="1" scenarios="1"/>
  <mergeCells count="3">
    <mergeCell ref="A1:G1"/>
    <mergeCell ref="A9:G10"/>
    <mergeCell ref="A7:C7"/>
  </mergeCells>
  <printOptions horizontalCentered="1"/>
  <pageMargins left="0.7" right="0.7" top="0.75" bottom="0.75" header="0.3" footer="0.3"/>
  <pageSetup orientation="portrait" horizontalDpi="1200" verticalDpi="1200" r:id="rId1"/>
  <headerFooter>
    <oddFooter>&amp;L3/27/2018&amp;RCCPU Wastewater Flow Worksheets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2"/>
  <sheetViews>
    <sheetView topLeftCell="A7" zoomScaleNormal="100" workbookViewId="0">
      <selection activeCell="A23" sqref="A23"/>
    </sheetView>
  </sheetViews>
  <sheetFormatPr defaultColWidth="9.08984375" defaultRowHeight="14.5" x14ac:dyDescent="0.35"/>
  <cols>
    <col min="1" max="1" width="90.54296875" style="25" customWidth="1"/>
  </cols>
  <sheetData>
    <row r="1" spans="1:10" x14ac:dyDescent="0.35">
      <c r="A1" s="24" t="s">
        <v>9</v>
      </c>
      <c r="B1" s="21"/>
      <c r="C1" s="21"/>
      <c r="D1" s="21"/>
      <c r="E1" s="21"/>
      <c r="F1" s="21"/>
      <c r="G1" s="21"/>
    </row>
    <row r="3" spans="1:10" ht="29" x14ac:dyDescent="0.35">
      <c r="A3" s="22" t="s">
        <v>18</v>
      </c>
      <c r="B3" s="22"/>
      <c r="C3" s="22"/>
      <c r="D3" s="22"/>
      <c r="E3" s="22"/>
      <c r="F3" s="22"/>
      <c r="G3" s="22"/>
      <c r="H3" s="22"/>
      <c r="I3" s="22"/>
      <c r="J3" s="22"/>
    </row>
    <row r="5" spans="1:10" ht="246.5" x14ac:dyDescent="0.35">
      <c r="A5" s="23" t="s">
        <v>7</v>
      </c>
      <c r="B5" s="23"/>
      <c r="C5" s="23"/>
      <c r="D5" s="23"/>
      <c r="E5" s="23"/>
      <c r="F5" s="23"/>
      <c r="G5" s="23"/>
      <c r="H5" s="23"/>
      <c r="I5" s="23"/>
      <c r="J5" s="23"/>
    </row>
    <row r="7" spans="1:10" ht="29" x14ac:dyDescent="0.35">
      <c r="A7" s="20" t="s">
        <v>8</v>
      </c>
      <c r="B7" s="20"/>
      <c r="C7" s="20"/>
      <c r="D7" s="20"/>
      <c r="E7" s="20"/>
      <c r="F7" s="20"/>
      <c r="G7" s="20"/>
      <c r="H7" s="20"/>
      <c r="I7" s="20"/>
      <c r="J7" s="20"/>
    </row>
    <row r="10" spans="1:10" x14ac:dyDescent="0.35">
      <c r="A10" s="26" t="s">
        <v>10</v>
      </c>
    </row>
    <row r="12" spans="1:10" ht="29" x14ac:dyDescent="0.35">
      <c r="A12" s="20" t="s">
        <v>11</v>
      </c>
      <c r="B12" s="20"/>
      <c r="C12" s="20"/>
      <c r="D12" s="20"/>
      <c r="E12" s="20"/>
      <c r="F12" s="20"/>
      <c r="G12" s="20"/>
      <c r="H12" s="20"/>
      <c r="I12" s="20"/>
      <c r="J12" s="20"/>
    </row>
    <row r="14" spans="1:10" ht="58" x14ac:dyDescent="0.35">
      <c r="A14" s="20" t="s">
        <v>12</v>
      </c>
      <c r="B14" s="20"/>
      <c r="C14" s="20"/>
      <c r="D14" s="20"/>
      <c r="E14" s="20"/>
      <c r="F14" s="20"/>
      <c r="G14" s="20"/>
      <c r="H14" s="20"/>
      <c r="I14" s="20"/>
      <c r="J14" s="20"/>
    </row>
    <row r="16" spans="1:10" ht="29" x14ac:dyDescent="0.35">
      <c r="A16" s="20" t="s">
        <v>13</v>
      </c>
      <c r="B16" s="20"/>
      <c r="C16" s="20"/>
      <c r="D16" s="20"/>
      <c r="E16" s="20"/>
      <c r="F16" s="20"/>
      <c r="G16" s="20"/>
      <c r="H16" s="20"/>
      <c r="I16" s="20"/>
      <c r="J16" s="20"/>
    </row>
    <row r="18" spans="1:10" ht="43.5" x14ac:dyDescent="0.35">
      <c r="A18" s="20" t="s">
        <v>14</v>
      </c>
      <c r="B18" s="20"/>
      <c r="C18" s="20"/>
      <c r="D18" s="20"/>
      <c r="E18" s="20"/>
      <c r="F18" s="20"/>
      <c r="G18" s="20"/>
      <c r="H18" s="20"/>
      <c r="I18" s="20"/>
      <c r="J18" s="20"/>
    </row>
    <row r="20" spans="1:10" ht="29" x14ac:dyDescent="0.35">
      <c r="A20" s="20" t="s">
        <v>15</v>
      </c>
      <c r="B20" s="20"/>
      <c r="C20" s="20"/>
      <c r="D20" s="20"/>
      <c r="E20" s="20"/>
      <c r="F20" s="20"/>
      <c r="G20" s="20"/>
      <c r="H20" s="20"/>
      <c r="I20" s="20"/>
      <c r="J20" s="20"/>
    </row>
    <row r="22" spans="1:10" ht="43.5" x14ac:dyDescent="0.35">
      <c r="A22" s="20" t="s">
        <v>16</v>
      </c>
      <c r="B22" s="20"/>
      <c r="C22" s="20"/>
      <c r="D22" s="20"/>
      <c r="E22" s="20"/>
      <c r="F22" s="20"/>
      <c r="G22" s="20"/>
      <c r="H22" s="20"/>
      <c r="I22" s="20"/>
      <c r="J22" s="20"/>
    </row>
  </sheetData>
  <sheetProtection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
  <sheetViews>
    <sheetView zoomScaleNormal="100" workbookViewId="0">
      <selection activeCell="A46" sqref="A46"/>
    </sheetView>
  </sheetViews>
  <sheetFormatPr defaultColWidth="9.08984375" defaultRowHeight="14.5" x14ac:dyDescent="0.35"/>
  <cols>
    <col min="1" max="1" width="90.54296875" customWidth="1"/>
    <col min="10" max="10" width="8.6328125" customWidth="1"/>
  </cols>
  <sheetData>
    <row r="1" spans="1:10" x14ac:dyDescent="0.35">
      <c r="A1" s="21" t="s">
        <v>17</v>
      </c>
      <c r="B1" s="21"/>
      <c r="C1" s="21"/>
      <c r="D1" s="21"/>
      <c r="E1" s="21"/>
      <c r="F1" s="21"/>
      <c r="G1" s="21"/>
      <c r="H1" s="21"/>
      <c r="I1" s="21"/>
      <c r="J1" s="21"/>
    </row>
    <row r="3" spans="1:10" ht="145" x14ac:dyDescent="0.35">
      <c r="A3" s="20" t="s">
        <v>24</v>
      </c>
      <c r="B3" s="20"/>
      <c r="C3" s="20"/>
      <c r="D3" s="20"/>
      <c r="E3" s="20"/>
      <c r="F3" s="20"/>
      <c r="G3" s="20"/>
      <c r="H3" s="20"/>
      <c r="I3" s="20"/>
      <c r="J3" s="20"/>
    </row>
    <row r="5" spans="1:10" ht="72.5" x14ac:dyDescent="0.35">
      <c r="A5" s="20" t="s">
        <v>25</v>
      </c>
      <c r="B5" s="20"/>
      <c r="C5" s="20"/>
      <c r="D5" s="20"/>
      <c r="E5" s="20"/>
      <c r="F5" s="20"/>
      <c r="G5" s="20"/>
      <c r="H5" s="20"/>
      <c r="I5" s="20"/>
      <c r="J5" s="20"/>
    </row>
  </sheetData>
  <sheetProtection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
  <sheetViews>
    <sheetView topLeftCell="A10" workbookViewId="0">
      <selection activeCell="B4" sqref="B4"/>
    </sheetView>
  </sheetViews>
  <sheetFormatPr defaultRowHeight="14.5" x14ac:dyDescent="0.35"/>
  <cols>
    <col min="10" max="10" width="8.6328125" customWidth="1"/>
  </cols>
  <sheetData>
    <row r="1" spans="1:12" x14ac:dyDescent="0.35">
      <c r="A1" s="151" t="s">
        <v>19</v>
      </c>
      <c r="B1" s="151"/>
      <c r="C1" s="151"/>
      <c r="D1" s="151"/>
      <c r="E1" s="151"/>
      <c r="F1" s="151"/>
      <c r="G1" s="151"/>
      <c r="H1" s="151"/>
      <c r="I1" s="151"/>
      <c r="J1" s="151"/>
      <c r="K1" s="9"/>
      <c r="L1" s="9"/>
    </row>
  </sheetData>
  <sheetProtection sheet="1" objects="1" scenarios="1"/>
  <mergeCells count="1">
    <mergeCell ref="A1:J1"/>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Residential</vt:lpstr>
      <vt:lpstr>Commercial</vt:lpstr>
      <vt:lpstr>Institutional</vt:lpstr>
      <vt:lpstr>Mixed Use</vt:lpstr>
      <vt:lpstr>62-6.008</vt:lpstr>
      <vt:lpstr>Collier Co Design Crit</vt:lpstr>
      <vt:lpstr>10 State Standards</vt:lpstr>
      <vt:lpstr>Commercial!Print_Area</vt:lpstr>
      <vt:lpstr>Institutional!Print_Area</vt:lpstr>
    </vt:vector>
  </TitlesOfParts>
  <Company>Stantec Consulting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Faria, Larissa</dc:creator>
  <cp:lastModifiedBy>CodyDrew</cp:lastModifiedBy>
  <cp:lastPrinted>2017-06-16T02:13:33Z</cp:lastPrinted>
  <dcterms:created xsi:type="dcterms:W3CDTF">2015-12-09T13:50:28Z</dcterms:created>
  <dcterms:modified xsi:type="dcterms:W3CDTF">2023-12-06T15:55:00Z</dcterms:modified>
</cp:coreProperties>
</file>